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75" yWindow="330" windowWidth="7545" windowHeight="4965" tabRatio="896" activeTab="9"/>
  </bookViews>
  <sheets>
    <sheet name="MAs m2 (site)" sheetId="1" r:id="rId1"/>
    <sheet name="MAs gs (site)" sheetId="2" r:id="rId2"/>
    <sheet name="MAs gOM (site)" sheetId="3" r:id="rId3"/>
    <sheet name="timeline" sheetId="4" r:id="rId4"/>
    <sheet name="30 May00" sheetId="5" r:id="rId5"/>
    <sheet name="26June00" sheetId="6" r:id="rId6"/>
    <sheet name="24July00" sheetId="7" r:id="rId7"/>
    <sheet name="14Sept00" sheetId="8" r:id="rId8"/>
    <sheet name="29July01" sheetId="9" r:id="rId9"/>
    <sheet name="10July02" sheetId="10" r:id="rId10"/>
    <sheet name="LOI" sheetId="11" r:id="rId11"/>
  </sheets>
  <definedNames/>
  <calcPr fullCalcOnLoad="1"/>
</workbook>
</file>

<file path=xl/sharedStrings.xml><?xml version="1.0" encoding="utf-8"?>
<sst xmlns="http://schemas.openxmlformats.org/spreadsheetml/2006/main" count="969" uniqueCount="341">
  <si>
    <t>KESSLER C-MANIPULATION 14 SEPTEMBER 2000 MICROARTHROPODS</t>
  </si>
  <si>
    <t>site</t>
  </si>
  <si>
    <t>treatment</t>
  </si>
  <si>
    <t>rep</t>
  </si>
  <si>
    <t>Collembola</t>
  </si>
  <si>
    <t>Oribatids</t>
  </si>
  <si>
    <t>Mesostigs</t>
  </si>
  <si>
    <t>Prostigs</t>
  </si>
  <si>
    <t>Other/Comments</t>
  </si>
  <si>
    <t>A</t>
  </si>
  <si>
    <t>B</t>
  </si>
  <si>
    <t>C</t>
  </si>
  <si>
    <t>D</t>
  </si>
  <si>
    <t>1 larva, 1 insect, 1 millipede</t>
  </si>
  <si>
    <t>1 insect, 1larva, 1 hypopi</t>
  </si>
  <si>
    <t>2 larvae, 2 millipedes</t>
  </si>
  <si>
    <t>4 larv, 1 ins, 3 hyp, 2 scorp</t>
  </si>
  <si>
    <t>1 ins, 2 mill, 2 larv, 1 hyp</t>
  </si>
  <si>
    <t>2 mill, 1 ins, 1 spider</t>
  </si>
  <si>
    <t>7 larv, 1 ins, 1 mill, 2 hyp</t>
  </si>
  <si>
    <t>4 ins, 6 mill, 2 scorp, 1 larv</t>
  </si>
  <si>
    <t>1 mill, 1 spider, 1 ins, 5 hyp</t>
  </si>
  <si>
    <t>5 larv, 5 mill, 3 ins, 4 hyp</t>
  </si>
  <si>
    <t>13 larv, 2 mill, 6 ins</t>
  </si>
  <si>
    <t>1 ins, 1 larv, 2 scorp, 2 hyp</t>
  </si>
  <si>
    <t>4 mill, 28 hypopi</t>
  </si>
  <si>
    <t>3 scorp, 2 ins, 3 mill</t>
  </si>
  <si>
    <t>3 ins, 5 larv, 2 mill, 1 hyp</t>
  </si>
  <si>
    <t>2 mill, 1 spid, 3 ins, 1 hyp, 1 scorp</t>
  </si>
  <si>
    <t>3 larv, 1 spid, 4 mill</t>
  </si>
  <si>
    <t>1 spid, 3 hyp, 1 ins</t>
  </si>
  <si>
    <t>1 mill, 1 spid, 2 scorp, 2 larv, 19 hyp</t>
  </si>
  <si>
    <t>3 larv, 1 hypopi</t>
  </si>
  <si>
    <t>1 mill, 3 larv, 1 ins, 2 hyp</t>
  </si>
  <si>
    <t>1 hyp, 2 mill, 2 scorp, 3 larv, 1 ins</t>
  </si>
  <si>
    <t>1 mill, 4 larv, 6 hyp</t>
  </si>
  <si>
    <t>1 millipede, 1 insect</t>
  </si>
  <si>
    <t>1 spider</t>
  </si>
  <si>
    <t>4 mill, 2 larv, 2 scorp, 2 hyp</t>
  </si>
  <si>
    <t>3 scorp, 1 ins, 2 larv, 64 hypopi</t>
  </si>
  <si>
    <t>3 larvae</t>
  </si>
  <si>
    <t>1 spider, 2 larvae, 2 scorp</t>
  </si>
  <si>
    <t>4 larvae, 3 insect, 1 millipede</t>
  </si>
  <si>
    <t>18 larvae, 2 insect, 2 hypopi</t>
  </si>
  <si>
    <t>4 larvae, 1 insect, 2 millipede</t>
  </si>
  <si>
    <t>5 hypopi</t>
  </si>
  <si>
    <t>8 hypopi, 1 larvae, 1 millipede</t>
  </si>
  <si>
    <t>1 insect, 1 millipede, 4 scorpions</t>
  </si>
  <si>
    <t>4 larvae, 4 millipedes, 2 scorpions</t>
  </si>
  <si>
    <t>1 larv, 1 spider</t>
  </si>
  <si>
    <t xml:space="preserve">1 ins, 1 larv, 4 mill, </t>
  </si>
  <si>
    <t>1 hyp, 3 ins</t>
  </si>
  <si>
    <t>3 ins</t>
  </si>
  <si>
    <t>1 hyp, 1 larv</t>
  </si>
  <si>
    <t>1 ins, 3 larv</t>
  </si>
  <si>
    <t>2 ins, 2 larv; # of oribatids uncertain</t>
  </si>
  <si>
    <t>2 hyp, 1 ins, 1 larv, 2 scorp</t>
  </si>
  <si>
    <t>6 hyp, 2 ins, 1 larv, 1 mill</t>
  </si>
  <si>
    <t>---------------------------</t>
  </si>
  <si>
    <t>11 hyp, 1 ins, 1 larv, 3 mill, 1 spider</t>
  </si>
  <si>
    <t>1 ins, 3 mill, 1 scorp</t>
  </si>
  <si>
    <t>1 ins, 1 larv, 1 mill</t>
  </si>
  <si>
    <t>1 hyp, 4 ins, 1 scorp</t>
  </si>
  <si>
    <t>2 ins, 1 larv, 1 mill</t>
  </si>
  <si>
    <t>1 ins, 1 larv</t>
  </si>
  <si>
    <t>1 larv</t>
  </si>
  <si>
    <t>1 larv, 1 mill</t>
  </si>
  <si>
    <t>1 hyp, 2 ins, 2 larv, 3 mill, 1 scorp</t>
  </si>
  <si>
    <t>6 hyp, 3 ins, 1 larv, 1 mill</t>
  </si>
  <si>
    <t>6 hyp, 2 ins, 1 larv, 3 mill, 1 spider</t>
  </si>
  <si>
    <t>3 hyp, 2 mill</t>
  </si>
  <si>
    <t>1 larv, 2 mill</t>
  </si>
  <si>
    <t>4 hypopi, 1 larv</t>
  </si>
  <si>
    <t>6 hyp, 1 insect, 5 larvae, 2 mill, 1 scorp</t>
  </si>
  <si>
    <t xml:space="preserve">1 insect, 1 larva, </t>
  </si>
  <si>
    <t>7 hyp, 3 ins, 4 larv, 1 scorp, 1 mill</t>
  </si>
  <si>
    <t>1 ins, 1 mill, 1 scorp</t>
  </si>
  <si>
    <t>14 hyp; # of prostigs not certain</t>
  </si>
  <si>
    <t>2 insect larvae, 1 millipede, 7 spiders</t>
  </si>
  <si>
    <t>1 millipede</t>
  </si>
  <si>
    <t>1 insect larvae, 1 hypopi</t>
  </si>
  <si>
    <t>2 insect larvae, 1 millipede, 1 fly</t>
  </si>
  <si>
    <t>large # of young mesostigs</t>
  </si>
  <si>
    <t>1 ant, 2 insect larvae</t>
  </si>
  <si>
    <t>1 fly, 1 millipede, 1 insect larvae</t>
  </si>
  <si>
    <t>1 Insect larvae</t>
  </si>
  <si>
    <t>1 beetle, 2 insect larvae</t>
  </si>
  <si>
    <t>2 millipedes, 1 insect larvae</t>
  </si>
  <si>
    <t>1 pseudoscorpian, 1 insect larvae</t>
  </si>
  <si>
    <t>5 millipedes, 2 insect larvae</t>
  </si>
  <si>
    <t>1 insect larvae, 1 fly</t>
  </si>
  <si>
    <t>1 insect larvae</t>
  </si>
  <si>
    <t>------------------------------</t>
  </si>
  <si>
    <t>1 pseudoscorpian</t>
  </si>
  <si>
    <t>2 millipedes, 2 insect larvae</t>
  </si>
  <si>
    <t>2 insect larvae</t>
  </si>
  <si>
    <t>1 insect larvae, 3 insects</t>
  </si>
  <si>
    <t>1 pseudoscorpian, 1 insect</t>
  </si>
  <si>
    <t>3 insect larvae, 2 insects</t>
  </si>
  <si>
    <t>4 insect larvae, 6 hypopi</t>
  </si>
  <si>
    <t>4 insect larvae, 2 insects</t>
  </si>
  <si>
    <t>1 insect larvae, 1 insect</t>
  </si>
  <si>
    <t>3 insect larvae</t>
  </si>
  <si>
    <t>1 hypopi, 3 insect larvae</t>
  </si>
  <si>
    <t>1 fly</t>
  </si>
  <si>
    <t>1 beetle, 1 fly</t>
  </si>
  <si>
    <t>1 insect larva</t>
  </si>
  <si>
    <t>1 mill, 1 scorp, 1 misquito</t>
  </si>
  <si>
    <t>5 ins, 1 mill</t>
  </si>
  <si>
    <t>2 larv</t>
  </si>
  <si>
    <t>3 larv</t>
  </si>
  <si>
    <t>1 mill, 3 larv</t>
  </si>
  <si>
    <t>9 larv, 1 misquito</t>
  </si>
  <si>
    <t>4 cent, 1 larv</t>
  </si>
  <si>
    <t>6 larv, 1 cent, 1 misquito, 8 scorp</t>
  </si>
  <si>
    <t>Crucible Wt (gm)</t>
  </si>
  <si>
    <t>Oven Dried Soil + Crucible (gm)</t>
  </si>
  <si>
    <t>Ashed Soil + Crucible (gm)</t>
  </si>
  <si>
    <t>1 ant, 2 scorp, 1 ins larv, 1 milli, 1 hypopi</t>
  </si>
  <si>
    <t>1 scorp, 1 milli, 1 larv</t>
  </si>
  <si>
    <t>2 hypopi, 1 ant , 1 milli, 1 larv</t>
  </si>
  <si>
    <t>3 cent, 1 milli, 1 larv</t>
  </si>
  <si>
    <t>Oven Dried Soil Wt (gm)</t>
  </si>
  <si>
    <t>%OM</t>
  </si>
  <si>
    <t>KESSLER C-MANIPULATION 24 July 2000 MICROARTHROPODS (1 rep, well cleaned)</t>
  </si>
  <si>
    <t>1 cent</t>
  </si>
  <si>
    <t>2 mill, 1 hypopi</t>
  </si>
  <si>
    <t>2 mill, 1 larv, 3 ins, 1 hypopi</t>
  </si>
  <si>
    <t>5 larv, 1 ins, 1 scorp</t>
  </si>
  <si>
    <t>2 ins, 3 larv, 2 mill</t>
  </si>
  <si>
    <t>1 ins, 63 larv, 2 mill, 1 scorp</t>
  </si>
  <si>
    <t>4 hyp, 1 larv, 15 scorp</t>
  </si>
  <si>
    <t>2 larv, 1 scorp</t>
  </si>
  <si>
    <t>6 millipedes</t>
  </si>
  <si>
    <t>9 hyp, 10 larv, 2 mill, 1 scorp, 1 spid</t>
  </si>
  <si>
    <t>16 hyp, 12 larv, 7 mill</t>
  </si>
  <si>
    <t>3 hyp, 1 larv, 2 mill, 1 spid</t>
  </si>
  <si>
    <t>10 hyp, 2 ins, 2 larv, 2 mill</t>
  </si>
  <si>
    <t>2 hyp, 1 ins, 3 larv, 8 mill, 1 scorp</t>
  </si>
  <si>
    <t>3 ins, 3 larv, 4 mill, 3 hyp</t>
  </si>
  <si>
    <t>18 hyp, 2 ins, 3 larv, 1 cent</t>
  </si>
  <si>
    <t>13 hyp, 1 larv, 5 mill, 2 scorp</t>
  </si>
  <si>
    <t>4 hyp, 5 larv, 3 mill</t>
  </si>
  <si>
    <t>23 hyp, 1 larv, 1 mill</t>
  </si>
  <si>
    <t xml:space="preserve">3 hyp, I ins, 4 larv, 2mill, 1 scorp </t>
  </si>
  <si>
    <t>1 mill, 1 scorp</t>
  </si>
  <si>
    <t>2 hyp, 1 mill, 6 larv</t>
  </si>
  <si>
    <t>2 hyp, 3 larv</t>
  </si>
  <si>
    <t>3 millipedes</t>
  </si>
  <si>
    <t>------------------------</t>
  </si>
  <si>
    <t>1 cent,  1 mill, 7 larv</t>
  </si>
  <si>
    <t>9 larv, 1 cent</t>
  </si>
  <si>
    <t>25 larv</t>
  </si>
  <si>
    <t>1 ant, 8 mill, 10 ins, 1 cent</t>
  </si>
  <si>
    <t>3 larv, 2 ins</t>
  </si>
  <si>
    <t>1 big ins</t>
  </si>
  <si>
    <t>15 larv</t>
  </si>
  <si>
    <t>1 mill, 3 larv, 4 ins</t>
  </si>
  <si>
    <t>1 mill, 2 ins</t>
  </si>
  <si>
    <t>2 ins</t>
  </si>
  <si>
    <t>1 mill, 2 scorp</t>
  </si>
  <si>
    <t>2 larv, 3 mill, 2 cent, 1 fly</t>
  </si>
  <si>
    <t>1 spider, 1 ins</t>
  </si>
  <si>
    <t>5 larv, 1 bettle, 1 cent</t>
  </si>
  <si>
    <t>4 larv, 1 spider, many eupadines</t>
  </si>
  <si>
    <t>Rep1 well cleaned for weighing</t>
  </si>
  <si>
    <t>1 hyp, 3 larv, 2 mill</t>
  </si>
  <si>
    <t>1 ins, 2 larv, 1 scorp</t>
  </si>
  <si>
    <t>2 hyp, 3 ins</t>
  </si>
  <si>
    <t>3 ins, 1 larv</t>
  </si>
  <si>
    <t>2 ins, 2 larv, 1 scorp</t>
  </si>
  <si>
    <t>1 larv, 1 mill, 2 scorp</t>
  </si>
  <si>
    <t>1 scorp</t>
  </si>
  <si>
    <t>3 hyp, 2 ins, 2 larv, 1 scorp, 4 cent</t>
  </si>
  <si>
    <t>1 hyp</t>
  </si>
  <si>
    <t>1 ins</t>
  </si>
  <si>
    <t>1 ins, 2 mill</t>
  </si>
  <si>
    <t>2 hyp, 1 ins, 4 larv, 18 mill</t>
  </si>
  <si>
    <t>1 ins, 2 mill, 1 scorp</t>
  </si>
  <si>
    <t>1 hyp, 1 ins</t>
  </si>
  <si>
    <t>1 ins, 6 larv</t>
  </si>
  <si>
    <t>3 ins, 1larv, 1 scorp</t>
  </si>
  <si>
    <t>2 ins, 3 mill</t>
  </si>
  <si>
    <t>KESSLER C-MANIPULATION 26 June 2000 MICROARTHROPODS (rep 1 well cleaned)</t>
  </si>
  <si>
    <t>bag+sleeve+soil</t>
  </si>
  <si>
    <t>dry wt</t>
  </si>
  <si>
    <t>ground soil</t>
  </si>
  <si>
    <t>total fresh wt</t>
  </si>
  <si>
    <t>total sample</t>
  </si>
  <si>
    <t xml:space="preserve">dry wt </t>
  </si>
  <si>
    <t>**total sample dry wt = column n + (column j - column i)</t>
  </si>
  <si>
    <t>bag wts:</t>
  </si>
  <si>
    <t>KESSLER C-MANIPULATION 30 May 2000 MICROARTHROPODS (rep 1, well cleaned)</t>
  </si>
  <si>
    <t>C manipulation experiment timeline:</t>
  </si>
  <si>
    <t xml:space="preserve">Notes on soil weights:  </t>
  </si>
  <si>
    <t>microarthropod cores were not weighed dry:  instead were ground up and subsamples were ashed for LOI.</t>
  </si>
  <si>
    <t>To estimate dry weight of each core, add the dry soil subsample for LOI to the ground soil weight.</t>
  </si>
  <si>
    <t>Date</t>
  </si>
  <si>
    <t>Sample id</t>
  </si>
  <si>
    <t>Crucible #</t>
  </si>
  <si>
    <t>Crucible Wt gm</t>
  </si>
  <si>
    <t>Oven Dried Soil + Crucible gm</t>
  </si>
  <si>
    <t>Ashed Soil + Crucible gm</t>
  </si>
  <si>
    <r>
      <t>1a</t>
    </r>
    <r>
      <rPr>
        <vertAlign val="subscript"/>
        <sz val="9.5"/>
        <rFont val="Geneva"/>
        <family val="0"/>
      </rPr>
      <t>1</t>
    </r>
  </si>
  <si>
    <r>
      <t>1a</t>
    </r>
    <r>
      <rPr>
        <vertAlign val="subscript"/>
        <sz val="9.5"/>
        <rFont val="Geneva"/>
        <family val="0"/>
      </rPr>
      <t>2</t>
    </r>
  </si>
  <si>
    <r>
      <t>1b</t>
    </r>
    <r>
      <rPr>
        <vertAlign val="subscript"/>
        <sz val="9.5"/>
        <rFont val="Geneva"/>
        <family val="0"/>
      </rPr>
      <t>1</t>
    </r>
  </si>
  <si>
    <r>
      <t>1b</t>
    </r>
    <r>
      <rPr>
        <vertAlign val="subscript"/>
        <sz val="9.5"/>
        <rFont val="Geneva"/>
        <family val="0"/>
      </rPr>
      <t>2</t>
    </r>
  </si>
  <si>
    <r>
      <t>1c</t>
    </r>
    <r>
      <rPr>
        <vertAlign val="subscript"/>
        <sz val="9.5"/>
        <rFont val="Geneva"/>
        <family val="0"/>
      </rPr>
      <t>1</t>
    </r>
  </si>
  <si>
    <r>
      <t>1c</t>
    </r>
    <r>
      <rPr>
        <vertAlign val="subscript"/>
        <sz val="9.5"/>
        <rFont val="Geneva"/>
        <family val="0"/>
      </rPr>
      <t>2</t>
    </r>
  </si>
  <si>
    <r>
      <t>1d</t>
    </r>
    <r>
      <rPr>
        <vertAlign val="subscript"/>
        <sz val="9.5"/>
        <rFont val="Geneva"/>
        <family val="0"/>
      </rPr>
      <t>1</t>
    </r>
  </si>
  <si>
    <r>
      <t>1d</t>
    </r>
    <r>
      <rPr>
        <vertAlign val="subscript"/>
        <sz val="9.5"/>
        <rFont val="Geneva"/>
        <family val="0"/>
      </rPr>
      <t>2</t>
    </r>
  </si>
  <si>
    <r>
      <t>2a</t>
    </r>
    <r>
      <rPr>
        <vertAlign val="subscript"/>
        <sz val="9.5"/>
        <rFont val="Geneva"/>
        <family val="0"/>
      </rPr>
      <t>1</t>
    </r>
  </si>
  <si>
    <r>
      <t>2a</t>
    </r>
    <r>
      <rPr>
        <vertAlign val="subscript"/>
        <sz val="9.5"/>
        <rFont val="Geneva"/>
        <family val="0"/>
      </rPr>
      <t>2</t>
    </r>
  </si>
  <si>
    <r>
      <t>2b</t>
    </r>
    <r>
      <rPr>
        <vertAlign val="subscript"/>
        <sz val="9.5"/>
        <rFont val="Geneva"/>
        <family val="0"/>
      </rPr>
      <t>1</t>
    </r>
  </si>
  <si>
    <r>
      <t>2b</t>
    </r>
    <r>
      <rPr>
        <vertAlign val="subscript"/>
        <sz val="9.5"/>
        <rFont val="Geneva"/>
        <family val="0"/>
      </rPr>
      <t>2</t>
    </r>
  </si>
  <si>
    <r>
      <t>2c</t>
    </r>
    <r>
      <rPr>
        <vertAlign val="subscript"/>
        <sz val="9.5"/>
        <rFont val="Geneva"/>
        <family val="0"/>
      </rPr>
      <t>1</t>
    </r>
  </si>
  <si>
    <r>
      <t>2c</t>
    </r>
    <r>
      <rPr>
        <vertAlign val="subscript"/>
        <sz val="9.5"/>
        <rFont val="Geneva"/>
        <family val="0"/>
      </rPr>
      <t>2</t>
    </r>
  </si>
  <si>
    <r>
      <t>2d</t>
    </r>
    <r>
      <rPr>
        <vertAlign val="subscript"/>
        <sz val="9.5"/>
        <rFont val="Geneva"/>
        <family val="0"/>
      </rPr>
      <t>1</t>
    </r>
  </si>
  <si>
    <r>
      <t>2d</t>
    </r>
    <r>
      <rPr>
        <vertAlign val="subscript"/>
        <sz val="9.5"/>
        <rFont val="Geneva"/>
        <family val="0"/>
      </rPr>
      <t>2</t>
    </r>
  </si>
  <si>
    <r>
      <t>3a</t>
    </r>
    <r>
      <rPr>
        <vertAlign val="subscript"/>
        <sz val="9.5"/>
        <rFont val="Geneva"/>
        <family val="0"/>
      </rPr>
      <t>1</t>
    </r>
  </si>
  <si>
    <r>
      <t>3a</t>
    </r>
    <r>
      <rPr>
        <vertAlign val="subscript"/>
        <sz val="9.5"/>
        <rFont val="Geneva"/>
        <family val="0"/>
      </rPr>
      <t>2</t>
    </r>
  </si>
  <si>
    <r>
      <t>3b</t>
    </r>
    <r>
      <rPr>
        <vertAlign val="subscript"/>
        <sz val="9.5"/>
        <rFont val="Geneva"/>
        <family val="0"/>
      </rPr>
      <t>1</t>
    </r>
  </si>
  <si>
    <r>
      <t>3b</t>
    </r>
    <r>
      <rPr>
        <vertAlign val="subscript"/>
        <sz val="9.5"/>
        <rFont val="Geneva"/>
        <family val="0"/>
      </rPr>
      <t>2</t>
    </r>
  </si>
  <si>
    <r>
      <t>3c</t>
    </r>
    <r>
      <rPr>
        <vertAlign val="subscript"/>
        <sz val="9.5"/>
        <rFont val="Geneva"/>
        <family val="0"/>
      </rPr>
      <t>1</t>
    </r>
  </si>
  <si>
    <r>
      <t>3c</t>
    </r>
    <r>
      <rPr>
        <vertAlign val="subscript"/>
        <sz val="9.5"/>
        <rFont val="Geneva"/>
        <family val="0"/>
      </rPr>
      <t>2</t>
    </r>
  </si>
  <si>
    <r>
      <t>3d</t>
    </r>
    <r>
      <rPr>
        <vertAlign val="subscript"/>
        <sz val="9.5"/>
        <rFont val="Geneva"/>
        <family val="0"/>
      </rPr>
      <t>1</t>
    </r>
  </si>
  <si>
    <r>
      <t>3d</t>
    </r>
    <r>
      <rPr>
        <vertAlign val="subscript"/>
        <sz val="9.5"/>
        <rFont val="Geneva"/>
        <family val="0"/>
      </rPr>
      <t>2</t>
    </r>
  </si>
  <si>
    <r>
      <t>4a</t>
    </r>
    <r>
      <rPr>
        <vertAlign val="subscript"/>
        <sz val="9.5"/>
        <rFont val="Geneva"/>
        <family val="0"/>
      </rPr>
      <t>1</t>
    </r>
  </si>
  <si>
    <r>
      <t>4a</t>
    </r>
    <r>
      <rPr>
        <vertAlign val="subscript"/>
        <sz val="9.5"/>
        <rFont val="Geneva"/>
        <family val="0"/>
      </rPr>
      <t>2</t>
    </r>
  </si>
  <si>
    <r>
      <t>4b</t>
    </r>
    <r>
      <rPr>
        <vertAlign val="subscript"/>
        <sz val="9.5"/>
        <rFont val="Geneva"/>
        <family val="0"/>
      </rPr>
      <t>1</t>
    </r>
  </si>
  <si>
    <r>
      <t>4b</t>
    </r>
    <r>
      <rPr>
        <vertAlign val="subscript"/>
        <sz val="9.5"/>
        <rFont val="Geneva"/>
        <family val="0"/>
      </rPr>
      <t>2</t>
    </r>
  </si>
  <si>
    <r>
      <t>4c</t>
    </r>
    <r>
      <rPr>
        <vertAlign val="subscript"/>
        <sz val="9.5"/>
        <rFont val="Geneva"/>
        <family val="0"/>
      </rPr>
      <t>1</t>
    </r>
  </si>
  <si>
    <r>
      <t>4c</t>
    </r>
    <r>
      <rPr>
        <vertAlign val="subscript"/>
        <sz val="9.5"/>
        <rFont val="Geneva"/>
        <family val="0"/>
      </rPr>
      <t>2</t>
    </r>
  </si>
  <si>
    <r>
      <t>4d</t>
    </r>
    <r>
      <rPr>
        <vertAlign val="subscript"/>
        <sz val="9.5"/>
        <rFont val="Geneva"/>
        <family val="0"/>
      </rPr>
      <t>1</t>
    </r>
  </si>
  <si>
    <r>
      <t>4d</t>
    </r>
    <r>
      <rPr>
        <vertAlign val="subscript"/>
        <sz val="9.5"/>
        <rFont val="Geneva"/>
        <family val="0"/>
      </rPr>
      <t>2</t>
    </r>
  </si>
  <si>
    <r>
      <t>5a</t>
    </r>
    <r>
      <rPr>
        <vertAlign val="subscript"/>
        <sz val="9.5"/>
        <rFont val="Geneva"/>
        <family val="0"/>
      </rPr>
      <t>1</t>
    </r>
  </si>
  <si>
    <r>
      <t>5a</t>
    </r>
    <r>
      <rPr>
        <vertAlign val="subscript"/>
        <sz val="9.5"/>
        <rFont val="Geneva"/>
        <family val="0"/>
      </rPr>
      <t>2</t>
    </r>
  </si>
  <si>
    <r>
      <t>5b</t>
    </r>
    <r>
      <rPr>
        <vertAlign val="subscript"/>
        <sz val="9.5"/>
        <rFont val="Geneva"/>
        <family val="0"/>
      </rPr>
      <t>1</t>
    </r>
  </si>
  <si>
    <r>
      <t>5b</t>
    </r>
    <r>
      <rPr>
        <vertAlign val="subscript"/>
        <sz val="9.5"/>
        <rFont val="Geneva"/>
        <family val="0"/>
      </rPr>
      <t>2</t>
    </r>
  </si>
  <si>
    <r>
      <t>5c</t>
    </r>
    <r>
      <rPr>
        <vertAlign val="subscript"/>
        <sz val="9.5"/>
        <rFont val="Geneva"/>
        <family val="0"/>
      </rPr>
      <t>1</t>
    </r>
  </si>
  <si>
    <r>
      <t>5c</t>
    </r>
    <r>
      <rPr>
        <vertAlign val="subscript"/>
        <sz val="9.5"/>
        <rFont val="Geneva"/>
        <family val="0"/>
      </rPr>
      <t>2</t>
    </r>
  </si>
  <si>
    <r>
      <t>5d</t>
    </r>
    <r>
      <rPr>
        <vertAlign val="subscript"/>
        <sz val="9.5"/>
        <rFont val="Geneva"/>
        <family val="0"/>
      </rPr>
      <t>1</t>
    </r>
  </si>
  <si>
    <r>
      <t>5d</t>
    </r>
    <r>
      <rPr>
        <vertAlign val="subscript"/>
        <sz val="9.5"/>
        <rFont val="Geneva"/>
        <family val="0"/>
      </rPr>
      <t>2</t>
    </r>
  </si>
  <si>
    <t>5A</t>
  </si>
  <si>
    <t>no #</t>
  </si>
  <si>
    <t>22m</t>
  </si>
  <si>
    <t>21m</t>
  </si>
  <si>
    <t>40c</t>
  </si>
  <si>
    <t>coll/m2</t>
  </si>
  <si>
    <t>orib/m2</t>
  </si>
  <si>
    <t>meso/m2</t>
  </si>
  <si>
    <t>pro/m2</t>
  </si>
  <si>
    <t>total/m2</t>
  </si>
  <si>
    <t>coll/gs</t>
  </si>
  <si>
    <t>ori/gs</t>
  </si>
  <si>
    <t>meso/gs</t>
  </si>
  <si>
    <t>pro/gs</t>
  </si>
  <si>
    <t>total/gs</t>
  </si>
  <si>
    <t>coll/OM</t>
  </si>
  <si>
    <t>ori/OM</t>
  </si>
  <si>
    <t>meso/OM</t>
  </si>
  <si>
    <t>pro/OM</t>
  </si>
  <si>
    <t>total/OM</t>
  </si>
  <si>
    <t>site1</t>
  </si>
  <si>
    <t>mean</t>
  </si>
  <si>
    <t>site2</t>
  </si>
  <si>
    <t>site3</t>
  </si>
  <si>
    <t>site4</t>
  </si>
  <si>
    <t>site5</t>
  </si>
  <si>
    <t>%OM SS avg</t>
  </si>
  <si>
    <t>KESSLER C-MANIPULATION 29 JULY 2001 MICROARTHROPODS (only plots A + C sampled)</t>
  </si>
  <si>
    <t>11 unk, 3 mill, 8 larv</t>
  </si>
  <si>
    <t>3 ins, 1 fly, 2 spid</t>
  </si>
  <si>
    <t>1 scorp, 1 fly, 1 larv, 2 mill, 4 unk</t>
  </si>
  <si>
    <t>3 larv, 2 unk, 1 spid, 1 cent, 2 hyp</t>
  </si>
  <si>
    <t>2 larv, 1 fly</t>
  </si>
  <si>
    <t>16 scut, 1 larv, 1 fly</t>
  </si>
  <si>
    <t>4 scorp, 1 beet, 1 larv, 3 unk</t>
  </si>
  <si>
    <t>7 scut, 4 larv, 1 fly</t>
  </si>
  <si>
    <t>2 larv, 17 scut, 9 hyp</t>
  </si>
  <si>
    <t>5 hyp, 12 unk, 7 larv, 1 spid, 5 scut</t>
  </si>
  <si>
    <t xml:space="preserve">68 scut, 2 beet, 1 hyp, 1 spid,  </t>
  </si>
  <si>
    <t>2 fly</t>
  </si>
  <si>
    <t xml:space="preserve">61 scut, 20 hyp, 4 larv, 4 unk, 3 ins, 2 scorp </t>
  </si>
  <si>
    <t>1 ins, 1 fly, 6 larv, 1 mill, 4 scut</t>
  </si>
  <si>
    <t>1 grasshop, 5 hyp, 1 fly</t>
  </si>
  <si>
    <t>2 ins, 1 larv, 3 hyp, 1 fly</t>
  </si>
  <si>
    <t>2 larv, 2 scut</t>
  </si>
  <si>
    <t>2 beet, 1 hyp, 1 scut</t>
  </si>
  <si>
    <t>1 ins, 1 fly</t>
  </si>
  <si>
    <t>1 fly, 9 hyp, 10 scut, 1 beet, 1 mill</t>
  </si>
  <si>
    <t>2 hyp, 1 scut</t>
  </si>
  <si>
    <t>2 fly, 1 hyp</t>
  </si>
  <si>
    <t>12 larv, 3 hyp, 5 scut, 1 spid, 2 fly</t>
  </si>
  <si>
    <t>1 larv, 2 fly, 2 hyp</t>
  </si>
  <si>
    <t>4 scorp, 1 fly, 1 larv, 3 hyp, 3 scut</t>
  </si>
  <si>
    <t>1 hyp, 1 larv, 2 fly, 1 scut</t>
  </si>
  <si>
    <t>2 fly, 1 spid, 1 larv, 1 grasshop, 3 unk</t>
  </si>
  <si>
    <t>6 hyp, 2 scut, 1 larv</t>
  </si>
  <si>
    <t>bag+dried soil</t>
  </si>
  <si>
    <t>brown bag</t>
  </si>
  <si>
    <t>total/gOM</t>
  </si>
  <si>
    <t>(stderr)</t>
  </si>
  <si>
    <t>July 2000</t>
  </si>
  <si>
    <t>July 2001</t>
  </si>
  <si>
    <t>total/m2 (site avg.)</t>
  </si>
  <si>
    <t>total gs (site avg.)</t>
  </si>
  <si>
    <t>total gOM (site avg.)</t>
  </si>
  <si>
    <t>std error</t>
  </si>
  <si>
    <t>no-C</t>
  </si>
  <si>
    <t>Ashed Sample + Crucible Wt (gm)</t>
  </si>
  <si>
    <t>DW soil - bag (___)</t>
  </si>
  <si>
    <t>5 ins, 1fly</t>
  </si>
  <si>
    <t>unk. MA</t>
  </si>
  <si>
    <t>1 beetle</t>
  </si>
  <si>
    <t>3 scut, 1 larv, 2 ins</t>
  </si>
  <si>
    <t>1 mill</t>
  </si>
  <si>
    <t>2 larv, 1 ins, 1 scut</t>
  </si>
  <si>
    <t>1 hyopopus, 1 ins</t>
  </si>
  <si>
    <t>overwhelming tiny MAs unIDable</t>
  </si>
  <si>
    <t>2 larv, 2 ins</t>
  </si>
  <si>
    <t>larv, 2 ins</t>
  </si>
  <si>
    <t xml:space="preserve">4 larv </t>
  </si>
  <si>
    <t>7 larv, 1 fly</t>
  </si>
  <si>
    <t xml:space="preserve">4 ins, </t>
  </si>
  <si>
    <t>6 ins</t>
  </si>
  <si>
    <t>14 ins</t>
  </si>
  <si>
    <t>1 spider, 2 larv</t>
  </si>
  <si>
    <t>2 larv, 1 ins, 2 scorp</t>
  </si>
  <si>
    <t>sample dried MAs unIDable</t>
  </si>
  <si>
    <t>sample dried no MAs IDable</t>
  </si>
  <si>
    <t>…</t>
  </si>
  <si>
    <t>4 larv, 1 fly</t>
  </si>
  <si>
    <t>5 larv, 4 beetle, 4 fly</t>
  </si>
  <si>
    <t>2 larv, 15 beetle, 13 fly, 1 scorp</t>
  </si>
  <si>
    <t>n/a</t>
  </si>
  <si>
    <t>July 2002</t>
  </si>
  <si>
    <t>COLOR KEY</t>
  </si>
  <si>
    <t xml:space="preserve"> No Functional Groups discernable</t>
  </si>
  <si>
    <t xml:space="preserve"> Sample lost</t>
  </si>
  <si>
    <t xml:space="preserve"> LOI data unrealistic, #/OM not calculated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</si>
</sst>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yyyy"/>
  </numFmts>
  <fonts count="15">
    <font>
      <sz val="10"/>
      <name val="Arial"/>
      <family val="0"/>
    </font>
    <font>
      <sz val="10"/>
      <name val="Times New Roman"/>
      <family val="1"/>
    </font>
    <font>
      <sz val="7"/>
      <name val="Times New Roman"/>
      <family val="1"/>
    </font>
    <font>
      <sz val="10"/>
      <name val="Geneva"/>
      <family val="0"/>
    </font>
    <font>
      <b/>
      <sz val="10"/>
      <name val="Times New Roman"/>
      <family val="1"/>
    </font>
    <font>
      <sz val="9.5"/>
      <name val="Geneva"/>
      <family val="0"/>
    </font>
    <font>
      <sz val="9"/>
      <name val="Geneva"/>
      <family val="0"/>
    </font>
    <font>
      <vertAlign val="subscript"/>
      <sz val="9.5"/>
      <name val="Geneva"/>
      <family val="0"/>
    </font>
    <font>
      <b/>
      <sz val="9.5"/>
      <name val="Geneva"/>
      <family val="0"/>
    </font>
    <font>
      <b/>
      <sz val="12"/>
      <name val="Arial"/>
      <family val="0"/>
    </font>
    <font>
      <b/>
      <sz val="10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21" applyFont="1">
      <alignment/>
      <protection/>
    </xf>
    <xf numFmtId="0" fontId="2" fillId="0" borderId="0" xfId="0" applyFont="1" applyAlignment="1" quotePrefix="1">
      <alignment horizontal="center" vertical="center"/>
    </xf>
    <xf numFmtId="0" fontId="1" fillId="0" borderId="0" xfId="21" applyFont="1" applyAlignment="1">
      <alignment horizontal="center" vertical="center" wrapText="1"/>
      <protection/>
    </xf>
    <xf numFmtId="2" fontId="1" fillId="0" borderId="0" xfId="21" applyNumberFormat="1" applyFont="1" applyAlignment="1">
      <alignment horizontal="center" vertical="center" wrapText="1"/>
      <protection/>
    </xf>
    <xf numFmtId="2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16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" fillId="4" borderId="0" xfId="21" applyFont="1" applyFill="1" applyAlignment="1">
      <alignment horizontal="center" vertical="center" wrapText="1"/>
      <protection/>
    </xf>
    <xf numFmtId="2" fontId="1" fillId="4" borderId="0" xfId="21" applyNumberFormat="1" applyFont="1" applyFill="1" applyAlignment="1">
      <alignment horizontal="center" vertical="center" wrapText="1"/>
      <protection/>
    </xf>
    <xf numFmtId="2" fontId="1" fillId="4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2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2" fontId="1" fillId="0" borderId="0" xfId="21" applyNumberFormat="1" applyFont="1" applyAlignment="1">
      <alignment horizontal="center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49" fontId="1" fillId="0" borderId="0" xfId="0" applyNumberFormat="1" applyFont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essler 00HB LO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Micros / 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site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(timeline!$F$15,timeline!$H$15,timeline!$J$15,timeline!$L$15)</c:f>
                <c:numCache>
                  <c:ptCount val="4"/>
                  <c:pt idx="0">
                    <c:v>19784.632952956403</c:v>
                  </c:pt>
                  <c:pt idx="1">
                    <c:v>14294.44277605624</c:v>
                  </c:pt>
                  <c:pt idx="2">
                    <c:v>27163.516897234058</c:v>
                  </c:pt>
                  <c:pt idx="3">
                    <c:v>24794.9830281445</c:v>
                  </c:pt>
                </c:numCache>
              </c:numRef>
            </c:plus>
            <c:minus>
              <c:numRef>
                <c:f>(timeline!$F$15,timeline!$H$15,timeline!$J$15,timeline!$L$15)</c:f>
                <c:numCache>
                  <c:ptCount val="4"/>
                  <c:pt idx="0">
                    <c:v>19784.632952956403</c:v>
                  </c:pt>
                  <c:pt idx="1">
                    <c:v>14294.44277605624</c:v>
                  </c:pt>
                  <c:pt idx="2">
                    <c:v>27163.516897234058</c:v>
                  </c:pt>
                  <c:pt idx="3">
                    <c:v>24794.9830281445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cat>
          <c:val>
            <c:numRef>
              <c:f>(timeline!$E$15,timeline!$G$15,timeline!$I$15,timeline!$K$15)</c:f>
              <c:numCache>
                <c:ptCount val="4"/>
                <c:pt idx="0">
                  <c:v>146624.20382165603</c:v>
                </c:pt>
                <c:pt idx="1">
                  <c:v>158280.25477707008</c:v>
                </c:pt>
                <c:pt idx="2">
                  <c:v>195414.01273885346</c:v>
                </c:pt>
                <c:pt idx="3">
                  <c:v>183184.71337579613</c:v>
                </c:pt>
              </c:numCache>
            </c:numRef>
          </c:val>
        </c:ser>
        <c:ser>
          <c:idx val="1"/>
          <c:order val="1"/>
          <c:tx>
            <c:v>site 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(timeline!$F$16,timeline!$H$16,timeline!$J$16,timeline!$L$16)</c:f>
                <c:numCache>
                  <c:ptCount val="4"/>
                  <c:pt idx="0">
                    <c:v>12050.17435962849</c:v>
                  </c:pt>
                  <c:pt idx="1">
                    <c:v>10868.201439005095</c:v>
                  </c:pt>
                  <c:pt idx="2">
                    <c:v>10635.198976583464</c:v>
                  </c:pt>
                  <c:pt idx="3">
                    <c:v>12985.901449567908</c:v>
                  </c:pt>
                </c:numCache>
              </c:numRef>
            </c:plus>
            <c:minus>
              <c:numRef>
                <c:f>(timeline!$F$16,timeline!$H$16,timeline!$J$16,timeline!$L$16)</c:f>
                <c:numCache>
                  <c:ptCount val="4"/>
                  <c:pt idx="0">
                    <c:v>12050.17435962849</c:v>
                  </c:pt>
                  <c:pt idx="1">
                    <c:v>10868.201439005095</c:v>
                  </c:pt>
                  <c:pt idx="2">
                    <c:v>10635.198976583464</c:v>
                  </c:pt>
                  <c:pt idx="3">
                    <c:v>12985.901449567908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cat>
          <c:val>
            <c:numRef>
              <c:f>(timeline!$E$16,timeline!$G$16,timeline!$I$16,timeline!$K$16)</c:f>
              <c:numCache>
                <c:ptCount val="4"/>
                <c:pt idx="0">
                  <c:v>89936.30573248406</c:v>
                </c:pt>
                <c:pt idx="1">
                  <c:v>74777.07006369425</c:v>
                </c:pt>
                <c:pt idx="2">
                  <c:v>160445.8598726114</c:v>
                </c:pt>
                <c:pt idx="3">
                  <c:v>178811.0403397027</c:v>
                </c:pt>
              </c:numCache>
            </c:numRef>
          </c:val>
        </c:ser>
        <c:ser>
          <c:idx val="2"/>
          <c:order val="2"/>
          <c:tx>
            <c:v>site 3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(timeline!$F$17,timeline!$H$17,timeline!$J$17,timeline!$L$17)</c:f>
                <c:numCache>
                  <c:ptCount val="4"/>
                  <c:pt idx="0">
                    <c:v>16927.069375918665</c:v>
                  </c:pt>
                  <c:pt idx="1">
                    <c:v>13317.869281072868</c:v>
                  </c:pt>
                  <c:pt idx="2">
                    <c:v>15303.429494765125</c:v>
                  </c:pt>
                  <c:pt idx="3">
                    <c:v>16594.128965674812</c:v>
                  </c:pt>
                </c:numCache>
              </c:numRef>
            </c:plus>
            <c:minus>
              <c:numRef>
                <c:f>(timeline!$F$17,timeline!$H$17,timeline!$J$17,timeline!$L$17)</c:f>
                <c:numCache>
                  <c:ptCount val="4"/>
                  <c:pt idx="0">
                    <c:v>16927.069375918665</c:v>
                  </c:pt>
                  <c:pt idx="1">
                    <c:v>13317.869281072868</c:v>
                  </c:pt>
                  <c:pt idx="2">
                    <c:v>15303.429494765125</c:v>
                  </c:pt>
                  <c:pt idx="3">
                    <c:v>16594.128965674812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cat>
          <c:val>
            <c:numRef>
              <c:f>(timeline!$E$17,timeline!$G$17,timeline!$I$17,timeline!$K$17)</c:f>
              <c:numCache>
                <c:ptCount val="4"/>
                <c:pt idx="0">
                  <c:v>119108.28025477706</c:v>
                </c:pt>
                <c:pt idx="1">
                  <c:v>101656.050955414</c:v>
                </c:pt>
                <c:pt idx="2">
                  <c:v>172165.60509554137</c:v>
                </c:pt>
                <c:pt idx="3">
                  <c:v>198301.48619957533</c:v>
                </c:pt>
              </c:numCache>
            </c:numRef>
          </c:val>
        </c:ser>
        <c:ser>
          <c:idx val="3"/>
          <c:order val="3"/>
          <c:tx>
            <c:v>site 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(timeline!$F$18,timeline!$H$18,timeline!$J$18,timeline!$L$18)</c:f>
                <c:numCache>
                  <c:ptCount val="4"/>
                  <c:pt idx="0">
                    <c:v>8313.226158896487</c:v>
                  </c:pt>
                  <c:pt idx="1">
                    <c:v>12913.071651773571</c:v>
                  </c:pt>
                  <c:pt idx="2">
                    <c:v>27864.372743750402</c:v>
                  </c:pt>
                  <c:pt idx="3">
                    <c:v>13766.585090993669</c:v>
                  </c:pt>
                </c:numCache>
              </c:numRef>
            </c:plus>
            <c:minus>
              <c:numRef>
                <c:f>(timeline!$F$18,timeline!$H$18,timeline!$J$18,timeline!$L$18)</c:f>
                <c:numCache>
                  <c:ptCount val="4"/>
                  <c:pt idx="0">
                    <c:v>8313.226158896487</c:v>
                  </c:pt>
                  <c:pt idx="1">
                    <c:v>12913.071651773571</c:v>
                  </c:pt>
                  <c:pt idx="2">
                    <c:v>27864.372743750402</c:v>
                  </c:pt>
                  <c:pt idx="3">
                    <c:v>13766.585090993669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cat>
          <c:val>
            <c:numRef>
              <c:f>(timeline!$E$18,timeline!$G$18,timeline!$I$18,timeline!$K$18)</c:f>
              <c:numCache>
                <c:ptCount val="4"/>
                <c:pt idx="0">
                  <c:v>109171.97452229298</c:v>
                </c:pt>
                <c:pt idx="1">
                  <c:v>121974.52229299361</c:v>
                </c:pt>
                <c:pt idx="2">
                  <c:v>183184.71337579616</c:v>
                </c:pt>
                <c:pt idx="3">
                  <c:v>173418.25902335453</c:v>
                </c:pt>
              </c:numCache>
            </c:numRef>
          </c:val>
        </c:ser>
        <c:ser>
          <c:idx val="4"/>
          <c:order val="4"/>
          <c:tx>
            <c:v>site 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(timeline!$F$19,timeline!$H$19,timeline!$J$19,timeline!$L$19)</c:f>
                <c:numCache>
                  <c:ptCount val="4"/>
                  <c:pt idx="0">
                    <c:v>23198.09580879695</c:v>
                  </c:pt>
                  <c:pt idx="1">
                    <c:v>32012.518705428534</c:v>
                  </c:pt>
                  <c:pt idx="2">
                    <c:v>13583.785234446392</c:v>
                  </c:pt>
                  <c:pt idx="3">
                    <c:v>35923.01703887964</c:v>
                  </c:pt>
                </c:numCache>
              </c:numRef>
            </c:plus>
            <c:minus>
              <c:numRef>
                <c:f>(timeline!$F$19,timeline!$H$19,timeline!$J$19,timeline!$L$19)</c:f>
                <c:numCache>
                  <c:ptCount val="4"/>
                  <c:pt idx="0">
                    <c:v>23198.09580879695</c:v>
                  </c:pt>
                  <c:pt idx="1">
                    <c:v>32012.518705428534</c:v>
                  </c:pt>
                  <c:pt idx="2">
                    <c:v>13583.785234446392</c:v>
                  </c:pt>
                  <c:pt idx="3">
                    <c:v>35923.01703887964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cat>
          <c:val>
            <c:numRef>
              <c:f>(timeline!$E$19,timeline!$G$19,timeline!$I$19,timeline!$K$19)</c:f>
              <c:numCache>
                <c:ptCount val="4"/>
                <c:pt idx="0">
                  <c:v>109872.61146496815</c:v>
                </c:pt>
                <c:pt idx="1">
                  <c:v>142993.6305732484</c:v>
                </c:pt>
                <c:pt idx="2">
                  <c:v>191528.66242038208</c:v>
                </c:pt>
                <c:pt idx="3">
                  <c:v>147303.60934182585</c:v>
                </c:pt>
              </c:numCache>
            </c:numRef>
          </c:val>
        </c:ser>
        <c:axId val="61246978"/>
        <c:axId val="14351891"/>
      </c:barChart>
      <c:catAx>
        <c:axId val="61246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(2000)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51891"/>
        <c:crosses val="autoZero"/>
        <c:auto val="0"/>
        <c:lblOffset val="100"/>
        <c:noMultiLvlLbl val="0"/>
      </c:catAx>
      <c:valAx>
        <c:axId val="14351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microarthropods / 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46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Micros / g dry soil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(timeline!$F$26,timeline!$H$26,timeline!$J$26,timeline!$L$26)</c:f>
                <c:numCache>
                  <c:ptCount val="4"/>
                  <c:pt idx="0">
                    <c:v>5.308045504662296</c:v>
                  </c:pt>
                  <c:pt idx="1">
                    <c:v>3.7849379866613035</c:v>
                  </c:pt>
                  <c:pt idx="2">
                    <c:v>4.168466010544822</c:v>
                  </c:pt>
                  <c:pt idx="3">
                    <c:v>8.225242097049177</c:v>
                  </c:pt>
                </c:numCache>
              </c:numRef>
            </c:plus>
            <c:minus>
              <c:numRef>
                <c:f>(timeline!$F$26,timeline!$H$26,timeline!$J$26,timeline!$L$26)</c:f>
                <c:numCache>
                  <c:ptCount val="4"/>
                  <c:pt idx="0">
                    <c:v>5.308045504662296</c:v>
                  </c:pt>
                  <c:pt idx="1">
                    <c:v>3.7849379866613035</c:v>
                  </c:pt>
                  <c:pt idx="2">
                    <c:v>4.168466010544822</c:v>
                  </c:pt>
                  <c:pt idx="3">
                    <c:v>8.225242097049177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(timeline!$E$26,timeline!$G$26,timeline!$I$26,timeline!$K$26)</c:f>
              <c:numCache>
                <c:ptCount val="4"/>
                <c:pt idx="0">
                  <c:v>28.152331248436894</c:v>
                </c:pt>
                <c:pt idx="1">
                  <c:v>19.813688759263968</c:v>
                </c:pt>
                <c:pt idx="2">
                  <c:v>23.7105627509063</c:v>
                </c:pt>
                <c:pt idx="3">
                  <c:v>41.85464098325295</c:v>
                </c:pt>
              </c:numCache>
            </c:numRef>
          </c:yVal>
          <c:smooth val="1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(timeline!$F$27,timeline!$H$27,timeline!$J$27,timeline!$L$27)</c:f>
                <c:numCache>
                  <c:ptCount val="4"/>
                  <c:pt idx="0">
                    <c:v>3.502237705378728</c:v>
                  </c:pt>
                  <c:pt idx="1">
                    <c:v>2.330761952471134</c:v>
                  </c:pt>
                  <c:pt idx="2">
                    <c:v>3.368506499884362</c:v>
                  </c:pt>
                  <c:pt idx="3">
                    <c:v>7.485866532669727</c:v>
                  </c:pt>
                </c:numCache>
              </c:numRef>
            </c:plus>
            <c:minus>
              <c:numRef>
                <c:f>(timeline!$F$27,timeline!$H$27,timeline!$J$27,timeline!$L$27)</c:f>
                <c:numCache>
                  <c:ptCount val="4"/>
                  <c:pt idx="0">
                    <c:v>3.502237705378728</c:v>
                  </c:pt>
                  <c:pt idx="1">
                    <c:v>2.330761952471134</c:v>
                  </c:pt>
                  <c:pt idx="2">
                    <c:v>3.368506499884362</c:v>
                  </c:pt>
                  <c:pt idx="3">
                    <c:v>7.485866532669727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(timeline!$E$27,timeline!$G$27,timeline!$I$27,timeline!$K$27)</c:f>
              <c:numCache>
                <c:ptCount val="4"/>
                <c:pt idx="0">
                  <c:v>20.023497214222413</c:v>
                </c:pt>
                <c:pt idx="1">
                  <c:v>11.281930086727115</c:v>
                </c:pt>
                <c:pt idx="2">
                  <c:v>25.722522004471777</c:v>
                </c:pt>
                <c:pt idx="3">
                  <c:v>47.78434537427313</c:v>
                </c:pt>
              </c:numCache>
            </c:numRef>
          </c:yVal>
          <c:smooth val="1"/>
        </c:ser>
        <c:ser>
          <c:idx val="2"/>
          <c:order val="2"/>
          <c:tx>
            <c:v>site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(timeline!$F$28,timeline!$H$28,timeline!$J$28,timeline!$L$28)</c:f>
                <c:numCache>
                  <c:ptCount val="4"/>
                  <c:pt idx="0">
                    <c:v>2.853273780029242</c:v>
                  </c:pt>
                  <c:pt idx="1">
                    <c:v>2.4510936066422486</c:v>
                  </c:pt>
                  <c:pt idx="2">
                    <c:v>4.214006345798338</c:v>
                  </c:pt>
                  <c:pt idx="3">
                    <c:v>6.420435080050141</c:v>
                  </c:pt>
                </c:numCache>
              </c:numRef>
            </c:plus>
            <c:minus>
              <c:numRef>
                <c:f>(timeline!$F$28,timeline!$H$28,timeline!$J$28,timeline!$L$28)</c:f>
                <c:numCache>
                  <c:ptCount val="4"/>
                  <c:pt idx="0">
                    <c:v>2.853273780029242</c:v>
                  </c:pt>
                  <c:pt idx="1">
                    <c:v>2.4510936066422486</c:v>
                  </c:pt>
                  <c:pt idx="2">
                    <c:v>4.214006345798338</c:v>
                  </c:pt>
                  <c:pt idx="3">
                    <c:v>6.420435080050141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(timeline!$E$28,timeline!$G$28,timeline!$I$28,timeline!$K$28)</c:f>
              <c:numCache>
                <c:ptCount val="4"/>
                <c:pt idx="0">
                  <c:v>17.754524631499194</c:v>
                </c:pt>
                <c:pt idx="1">
                  <c:v>13.456281171386046</c:v>
                </c:pt>
                <c:pt idx="2">
                  <c:v>27.004847651115092</c:v>
                </c:pt>
                <c:pt idx="3">
                  <c:v>50.3254480592104</c:v>
                </c:pt>
              </c:numCache>
            </c:numRef>
          </c:yVal>
          <c:smooth val="1"/>
        </c:ser>
        <c:ser>
          <c:idx val="3"/>
          <c:order val="3"/>
          <c:tx>
            <c:v>site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(timeline!$F$29,timeline!$H$29,timeline!$J$29,timeline!$L$29)</c:f>
                <c:numCache>
                  <c:ptCount val="4"/>
                  <c:pt idx="0">
                    <c:v>3.3097210409157714</c:v>
                  </c:pt>
                  <c:pt idx="1">
                    <c:v>2.146218042510926</c:v>
                  </c:pt>
                  <c:pt idx="2">
                    <c:v>2.1883029805637633</c:v>
                  </c:pt>
                  <c:pt idx="3">
                    <c:v>4.138401248416599</c:v>
                  </c:pt>
                </c:numCache>
              </c:numRef>
            </c:plus>
            <c:minus>
              <c:numRef>
                <c:f>(timeline!$F$29,timeline!$H$29,timeline!$J$29,timeline!$L$29)</c:f>
                <c:numCache>
                  <c:ptCount val="4"/>
                  <c:pt idx="0">
                    <c:v>3.3097210409157714</c:v>
                  </c:pt>
                  <c:pt idx="1">
                    <c:v>2.146218042510926</c:v>
                  </c:pt>
                  <c:pt idx="2">
                    <c:v>2.1883029805637633</c:v>
                  </c:pt>
                  <c:pt idx="3">
                    <c:v>4.138401248416599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(timeline!$E$29,timeline!$G$29,timeline!$I$29,timeline!$K$29)</c:f>
              <c:numCache>
                <c:ptCount val="4"/>
                <c:pt idx="0">
                  <c:v>16.694586949249693</c:v>
                </c:pt>
                <c:pt idx="1">
                  <c:v>15.030446623799541</c:v>
                </c:pt>
                <c:pt idx="2">
                  <c:v>26.550518558869356</c:v>
                </c:pt>
                <c:pt idx="3">
                  <c:v>36.034746810450535</c:v>
                </c:pt>
              </c:numCache>
            </c:numRef>
          </c:yVal>
          <c:smooth val="1"/>
        </c:ser>
        <c:ser>
          <c:idx val="4"/>
          <c:order val="4"/>
          <c:tx>
            <c:v>site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(timeline!$F$30,timeline!$H$30,timeline!$J$30,timeline!$L$30)</c:f>
                <c:numCache>
                  <c:ptCount val="4"/>
                  <c:pt idx="0">
                    <c:v>3.3097210409157714</c:v>
                  </c:pt>
                  <c:pt idx="1">
                    <c:v>8.259528999070092</c:v>
                  </c:pt>
                  <c:pt idx="2">
                    <c:v>3.5251942066193003</c:v>
                  </c:pt>
                  <c:pt idx="3">
                    <c:v>4.577654882112684</c:v>
                  </c:pt>
                </c:numCache>
              </c:numRef>
            </c:plus>
            <c:minus>
              <c:numRef>
                <c:f>(timeline!$F$30,timeline!$H$30,timeline!$J$30,timeline!$L$30)</c:f>
                <c:numCache>
                  <c:ptCount val="4"/>
                  <c:pt idx="0">
                    <c:v>3.3097210409157714</c:v>
                  </c:pt>
                  <c:pt idx="1">
                    <c:v>8.259528999070092</c:v>
                  </c:pt>
                  <c:pt idx="2">
                    <c:v>3.5251942066193003</c:v>
                  </c:pt>
                  <c:pt idx="3">
                    <c:v>4.577654882112684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(timeline!$E$30,timeline!$G$30,timeline!$I$30,timeline!$K$30)</c:f>
              <c:numCache>
                <c:ptCount val="4"/>
                <c:pt idx="0">
                  <c:v>19.32192622144614</c:v>
                </c:pt>
                <c:pt idx="1">
                  <c:v>27.464602084215457</c:v>
                </c:pt>
                <c:pt idx="2">
                  <c:v>28.863151273042273</c:v>
                </c:pt>
                <c:pt idx="3">
                  <c:v>17.758331707273623</c:v>
                </c:pt>
              </c:numCache>
            </c:numRef>
          </c:yVal>
          <c:smooth val="1"/>
        </c:ser>
        <c:axId val="62058156"/>
        <c:axId val="21652493"/>
      </c:scatterChart>
      <c:valAx>
        <c:axId val="62058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52493"/>
        <c:crosses val="autoZero"/>
        <c:crossBetween val="midCat"/>
        <c:dispUnits/>
      </c:valAx>
      <c:valAx>
        <c:axId val="2165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microarthropods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581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Micros / g 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site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(timeline!$F$37,timeline!$H$37,timeline!$J$37,timeline!$L$37)</c:f>
                <c:numCache>
                  <c:ptCount val="4"/>
                  <c:pt idx="0">
                    <c:v>6.363821638824228</c:v>
                  </c:pt>
                  <c:pt idx="1">
                    <c:v>5.479844869356476</c:v>
                  </c:pt>
                  <c:pt idx="2">
                    <c:v>10.382556368346313</c:v>
                  </c:pt>
                  <c:pt idx="3">
                    <c:v>15.889883155444302</c:v>
                  </c:pt>
                </c:numCache>
              </c:numRef>
            </c:plus>
            <c:minus>
              <c:numRef>
                <c:f>(timeline!$F$37,timeline!$H$37,timeline!$J$37,timeline!$L$37)</c:f>
                <c:numCache>
                  <c:ptCount val="4"/>
                  <c:pt idx="0">
                    <c:v>6.363821638824228</c:v>
                  </c:pt>
                  <c:pt idx="1">
                    <c:v>5.479844869356476</c:v>
                  </c:pt>
                  <c:pt idx="2">
                    <c:v>10.382556368346313</c:v>
                  </c:pt>
                  <c:pt idx="3">
                    <c:v>15.889883155444302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(timeline!$E$37,timeline!$G$37,timeline!$I$37,timeline!$K$37)</c:f>
              <c:numCache>
                <c:ptCount val="4"/>
                <c:pt idx="0">
                  <c:v>46.388939013664924</c:v>
                </c:pt>
                <c:pt idx="1">
                  <c:v>41.726420554019576</c:v>
                </c:pt>
                <c:pt idx="2">
                  <c:v>55.670735438377434</c:v>
                </c:pt>
                <c:pt idx="3">
                  <c:v>76.75493932939936</c:v>
                </c:pt>
              </c:numCache>
            </c:numRef>
          </c:yVal>
          <c:smooth val="1"/>
        </c:ser>
        <c:ser>
          <c:idx val="1"/>
          <c:order val="1"/>
          <c:tx>
            <c:v>site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(timeline!$F$38,timeline!$H$38,timeline!$J$38,timeline!$L$38)</c:f>
                <c:numCache>
                  <c:ptCount val="4"/>
                  <c:pt idx="0">
                    <c:v>4.934621106762172</c:v>
                  </c:pt>
                  <c:pt idx="1">
                    <c:v>10.468804290570263</c:v>
                  </c:pt>
                  <c:pt idx="2">
                    <c:v>3.296252260238029</c:v>
                  </c:pt>
                  <c:pt idx="3">
                    <c:v>7.635479061025896</c:v>
                  </c:pt>
                </c:numCache>
              </c:numRef>
            </c:plus>
            <c:minus>
              <c:numRef>
                <c:f>(timeline!$F$38,timeline!$H$38,timeline!$J$38,timeline!$L$38)</c:f>
                <c:numCache>
                  <c:ptCount val="4"/>
                  <c:pt idx="0">
                    <c:v>4.934621106762172</c:v>
                  </c:pt>
                  <c:pt idx="1">
                    <c:v>10.468804290570263</c:v>
                  </c:pt>
                  <c:pt idx="2">
                    <c:v>3.296252260238029</c:v>
                  </c:pt>
                  <c:pt idx="3">
                    <c:v>7.635479061025896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(timeline!$E$38,timeline!$G$38,timeline!$I$38,timeline!$K$38)</c:f>
              <c:numCache>
                <c:ptCount val="4"/>
                <c:pt idx="0">
                  <c:v>30.753129728829318</c:v>
                </c:pt>
                <c:pt idx="1">
                  <c:v>19.518240400794163</c:v>
                </c:pt>
                <c:pt idx="2">
                  <c:v>46.87400489672025</c:v>
                </c:pt>
                <c:pt idx="3">
                  <c:v>67.65321848192919</c:v>
                </c:pt>
              </c:numCache>
            </c:numRef>
          </c:yVal>
          <c:smooth val="1"/>
        </c:ser>
        <c:ser>
          <c:idx val="2"/>
          <c:order val="2"/>
          <c:tx>
            <c:v>site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errBars>
            <c:errDir val="y"/>
            <c:errBarType val="both"/>
            <c:errValType val="cust"/>
            <c:plus>
              <c:numRef>
                <c:f>(timeline!$F$39,timeline!$H$39,timeline!$J$39,timeline!$L$39)</c:f>
                <c:numCache>
                  <c:ptCount val="4"/>
                  <c:pt idx="0">
                    <c:v>4.581872381022959</c:v>
                  </c:pt>
                  <c:pt idx="1">
                    <c:v>4.7529837393808965</c:v>
                  </c:pt>
                  <c:pt idx="2">
                    <c:v>4.730795656874129</c:v>
                  </c:pt>
                  <c:pt idx="3">
                    <c:v>9.927061020068228</c:v>
                  </c:pt>
                </c:numCache>
              </c:numRef>
            </c:plus>
            <c:minus>
              <c:numRef>
                <c:f>(timeline!$F$39,timeline!$H$39,timeline!$J$39,timeline!$L$39)</c:f>
                <c:numCache>
                  <c:ptCount val="4"/>
                  <c:pt idx="0">
                    <c:v>4.581872381022959</c:v>
                  </c:pt>
                  <c:pt idx="1">
                    <c:v>4.7529837393808965</c:v>
                  </c:pt>
                  <c:pt idx="2">
                    <c:v>4.730795656874129</c:v>
                  </c:pt>
                  <c:pt idx="3">
                    <c:v>9.927061020068228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(timeline!$E$39,timeline!$G$39,timeline!$I$39,timeline!$K$39)</c:f>
              <c:numCache>
                <c:ptCount val="4"/>
                <c:pt idx="0">
                  <c:v>34.451353359328834</c:v>
                </c:pt>
                <c:pt idx="1">
                  <c:v>25.146375972109972</c:v>
                </c:pt>
                <c:pt idx="2">
                  <c:v>56.35199622892742</c:v>
                </c:pt>
                <c:pt idx="3">
                  <c:v>84.33445697304535</c:v>
                </c:pt>
              </c:numCache>
            </c:numRef>
          </c:yVal>
          <c:smooth val="1"/>
        </c:ser>
        <c:ser>
          <c:idx val="3"/>
          <c:order val="3"/>
          <c:tx>
            <c:v>site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errBars>
            <c:errDir val="y"/>
            <c:errBarType val="both"/>
            <c:errValType val="cust"/>
            <c:plus>
              <c:numRef>
                <c:f>(timeline!$F$40,timeline!$H$40,timeline!$J$40,timeline!$L$40)</c:f>
                <c:numCache>
                  <c:ptCount val="4"/>
                  <c:pt idx="0">
                    <c:v>4.571903838379787</c:v>
                  </c:pt>
                  <c:pt idx="1">
                    <c:v>4.726038413077555</c:v>
                  </c:pt>
                  <c:pt idx="2">
                    <c:v>9.983255109700703</c:v>
                  </c:pt>
                  <c:pt idx="3">
                    <c:v>6.510813773188602</c:v>
                  </c:pt>
                </c:numCache>
              </c:numRef>
            </c:plus>
            <c:minus>
              <c:numRef>
                <c:f>(timeline!$F$40,timeline!$H$40,timeline!$J$40,timeline!$L$40)</c:f>
                <c:numCache>
                  <c:ptCount val="4"/>
                  <c:pt idx="0">
                    <c:v>4.571903838379787</c:v>
                  </c:pt>
                  <c:pt idx="1">
                    <c:v>4.726038413077555</c:v>
                  </c:pt>
                  <c:pt idx="2">
                    <c:v>9.983255109700703</c:v>
                  </c:pt>
                  <c:pt idx="3">
                    <c:v>6.510813773188602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(timeline!$E$40,timeline!$G$40,timeline!$I$40,timeline!$K$40)</c:f>
              <c:numCache>
                <c:ptCount val="4"/>
                <c:pt idx="0">
                  <c:v>30.355549766837584</c:v>
                </c:pt>
                <c:pt idx="1">
                  <c:v>32.80267459088283</c:v>
                </c:pt>
                <c:pt idx="2">
                  <c:v>57.714932721683184</c:v>
                </c:pt>
                <c:pt idx="3">
                  <c:v>63.867528378230226</c:v>
                </c:pt>
              </c:numCache>
            </c:numRef>
          </c:yVal>
          <c:smooth val="1"/>
        </c:ser>
        <c:ser>
          <c:idx val="4"/>
          <c:order val="4"/>
          <c:tx>
            <c:v>site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(timeline!$F$41,timeline!$H$41,timeline!$J$41,timeline!$L$41)</c:f>
                <c:numCache>
                  <c:ptCount val="4"/>
                  <c:pt idx="0">
                    <c:v>6.575574874361638</c:v>
                  </c:pt>
                  <c:pt idx="1">
                    <c:v>9.810089061691627</c:v>
                  </c:pt>
                  <c:pt idx="2">
                    <c:v>7.943004435116371</c:v>
                  </c:pt>
                  <c:pt idx="3">
                    <c:v>10.176670287342851</c:v>
                  </c:pt>
                </c:numCache>
              </c:numRef>
            </c:plus>
            <c:minus>
              <c:numRef>
                <c:f>(timeline!$F$41,timeline!$H$41,timeline!$J$41,timeline!$L$41)</c:f>
                <c:numCache>
                  <c:ptCount val="4"/>
                  <c:pt idx="0">
                    <c:v>6.575574874361638</c:v>
                  </c:pt>
                  <c:pt idx="1">
                    <c:v>9.810089061691627</c:v>
                  </c:pt>
                  <c:pt idx="2">
                    <c:v>7.943004435116371</c:v>
                  </c:pt>
                  <c:pt idx="3">
                    <c:v>10.176670287342851</c:v>
                  </c:pt>
                </c:numCache>
              </c:numRef>
            </c:minus>
            <c:noEndCap val="0"/>
          </c:errBars>
          <c:xVal>
            <c:strRef>
              <c:f>(timeline!$E$8,timeline!$G$8,timeline!$I$8,timeline!$K$8)</c:f>
              <c:strCache>
                <c:ptCount val="4"/>
                <c:pt idx="0">
                  <c:v>37041</c:v>
                </c:pt>
                <c:pt idx="1">
                  <c:v>37068</c:v>
                </c:pt>
                <c:pt idx="2">
                  <c:v>37096</c:v>
                </c:pt>
                <c:pt idx="3">
                  <c:v>37148</c:v>
                </c:pt>
              </c:strCache>
            </c:strRef>
          </c:xVal>
          <c:yVal>
            <c:numRef>
              <c:f>(timeline!$E$41,timeline!$G$41,timeline!$I$41,timeline!$K$41)</c:f>
              <c:numCache>
                <c:ptCount val="4"/>
                <c:pt idx="0">
                  <c:v>28.311390856487165</c:v>
                </c:pt>
                <c:pt idx="1">
                  <c:v>35.88719313917794</c:v>
                </c:pt>
                <c:pt idx="2">
                  <c:v>49.6666700468319</c:v>
                </c:pt>
                <c:pt idx="3">
                  <c:v>34.32416365207927</c:v>
                </c:pt>
              </c:numCache>
            </c:numRef>
          </c:yVal>
          <c:smooth val="1"/>
        </c:ser>
        <c:axId val="60654710"/>
        <c:axId val="9021479"/>
      </c:scatterChart>
      <c:valAx>
        <c:axId val="60654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21479"/>
        <c:crosses val="autoZero"/>
        <c:crossBetween val="midCat"/>
        <c:dispUnits/>
      </c:valAx>
      <c:valAx>
        <c:axId val="9021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microarthropods / g 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54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Micros / g dry soil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(timeline!$F$21,timeline!$H$21,timeline!$J$21,timeline!$L$21)</c:f>
                <c:numCache>
                  <c:ptCount val="4"/>
                  <c:pt idx="0">
                    <c:v>3.914433548327484</c:v>
                  </c:pt>
                  <c:pt idx="1">
                    <c:v>3.3673658988617885</c:v>
                  </c:pt>
                  <c:pt idx="2">
                    <c:v>2.68756161127904</c:v>
                  </c:pt>
                  <c:pt idx="3">
                    <c:v>6.927502737516623</c:v>
                  </c:pt>
                </c:numCache>
              </c:numRef>
            </c:plus>
            <c:minus>
              <c:numRef>
                <c:f>(timeline!$F$21,timeline!$H$21,timeline!$J$21,timeline!$L$21)</c:f>
                <c:numCache>
                  <c:ptCount val="4"/>
                  <c:pt idx="0">
                    <c:v>3.914433548327484</c:v>
                  </c:pt>
                  <c:pt idx="1">
                    <c:v>3.3673658988617885</c:v>
                  </c:pt>
                  <c:pt idx="2">
                    <c:v>2.68756161127904</c:v>
                  </c:pt>
                  <c:pt idx="3">
                    <c:v>6.927502737516623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(timeline!$E$21,timeline!$G$21,timeline!$I$21,timeline!$K$21)</c:f>
              <c:numCache/>
            </c:numRef>
          </c:val>
        </c:ser>
        <c:ser>
          <c:idx val="1"/>
          <c:order val="1"/>
          <c:tx>
            <c:v>C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(timeline!$F$22,timeline!$H$22,timeline!$J$22,timeline!$L$22)</c:f>
                <c:numCache>
                  <c:ptCount val="4"/>
                  <c:pt idx="0">
                    <c:v>3.342841233439789</c:v>
                  </c:pt>
                  <c:pt idx="1">
                    <c:v>3.26268399520883</c:v>
                  </c:pt>
                  <c:pt idx="2">
                    <c:v>3.0540408640070686</c:v>
                  </c:pt>
                  <c:pt idx="3">
                    <c:v>7.682168645094032</c:v>
                  </c:pt>
                </c:numCache>
              </c:numRef>
            </c:plus>
            <c:minus>
              <c:numRef>
                <c:f>(timeline!$F$22,timeline!$H$22,timeline!$J$22,timeline!$L$22)</c:f>
                <c:numCache>
                  <c:ptCount val="4"/>
                  <c:pt idx="0">
                    <c:v>3.342841233439789</c:v>
                  </c:pt>
                  <c:pt idx="1">
                    <c:v>3.26268399520883</c:v>
                  </c:pt>
                  <c:pt idx="2">
                    <c:v>3.0540408640070686</c:v>
                  </c:pt>
                  <c:pt idx="3">
                    <c:v>7.682168645094032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(timeline!$E$22,timeline!$G$22,timeline!$I$22,timeline!$K$22)</c:f>
              <c:numCache/>
            </c:numRef>
          </c:val>
        </c:ser>
        <c:ser>
          <c:idx val="2"/>
          <c:order val="2"/>
          <c:tx>
            <c:v>Ca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(timeline!$F$23,timeline!$H$23,timeline!$J$23,timeline!$L$23)</c:f>
                <c:numCache>
                  <c:ptCount val="4"/>
                  <c:pt idx="0">
                    <c:v>3.7344470725701284</c:v>
                  </c:pt>
                  <c:pt idx="1">
                    <c:v>3.0916861028510416</c:v>
                  </c:pt>
                  <c:pt idx="2">
                    <c:v>3.6086005767941916</c:v>
                  </c:pt>
                  <c:pt idx="3">
                    <c:v>4.42219136888807</c:v>
                  </c:pt>
                </c:numCache>
              </c:numRef>
            </c:plus>
            <c:minus>
              <c:numRef>
                <c:f>(timeline!$F$23,timeline!$H$23,timeline!$J$23,timeline!$L$23)</c:f>
                <c:numCache>
                  <c:ptCount val="4"/>
                  <c:pt idx="0">
                    <c:v>3.7344470725701284</c:v>
                  </c:pt>
                  <c:pt idx="1">
                    <c:v>3.0916861028510416</c:v>
                  </c:pt>
                  <c:pt idx="2">
                    <c:v>3.6086005767941916</c:v>
                  </c:pt>
                  <c:pt idx="3">
                    <c:v>4.42219136888807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(timeline!$E$23,timeline!$G$23,timeline!$I$23,timeline!$K$23)</c:f>
              <c:numCache/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(timeline!$F$24,timeline!$H$24,timeline!$J$24,timeline!$L$24)</c:f>
                <c:numCache>
                  <c:ptCount val="4"/>
                  <c:pt idx="0">
                    <c:v>3.6873003271133498</c:v>
                  </c:pt>
                  <c:pt idx="1">
                    <c:v>6.446493693297688</c:v>
                  </c:pt>
                  <c:pt idx="2">
                    <c:v>2.8714033063157585</c:v>
                  </c:pt>
                  <c:pt idx="3">
                    <c:v>5.447613279171084</c:v>
                  </c:pt>
                </c:numCache>
              </c:numRef>
            </c:plus>
            <c:minus>
              <c:numRef>
                <c:f>(timeline!$F$24,timeline!$H$24,timeline!$J$24,timeline!$L$24)</c:f>
                <c:numCache>
                  <c:ptCount val="4"/>
                  <c:pt idx="0">
                    <c:v>3.6873003271133498</c:v>
                  </c:pt>
                  <c:pt idx="1">
                    <c:v>6.446493693297688</c:v>
                  </c:pt>
                  <c:pt idx="2">
                    <c:v>2.8714033063157585</c:v>
                  </c:pt>
                  <c:pt idx="3">
                    <c:v>5.447613279171084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(timeline!$E$24,timeline!$G$24,timeline!$I$24,timeline!$K$24)</c:f>
              <c:numCache/>
            </c:numRef>
          </c:val>
        </c:ser>
        <c:axId val="14084448"/>
        <c:axId val="59651169"/>
      </c:barChart>
      <c:catAx>
        <c:axId val="14084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in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51169"/>
        <c:crosses val="autoZero"/>
        <c:auto val="0"/>
        <c:lblOffset val="100"/>
        <c:noMultiLvlLbl val="0"/>
      </c:catAx>
      <c:valAx>
        <c:axId val="59651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microarthropods / 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84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Micros/m2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(timeline!$F$10,timeline!$H$10,timeline!$J$10,timeline!$L$10)</c:f>
                <c:numCache>
                  <c:ptCount val="4"/>
                  <c:pt idx="0">
                    <c:v>14018.255363983704</c:v>
                  </c:pt>
                  <c:pt idx="1">
                    <c:v>17550.053604376568</c:v>
                  </c:pt>
                  <c:pt idx="2">
                    <c:v>14180.718693658204</c:v>
                  </c:pt>
                  <c:pt idx="3">
                    <c:v>22779.101060542303</c:v>
                  </c:pt>
                </c:numCache>
              </c:numRef>
            </c:plus>
            <c:minus>
              <c:numRef>
                <c:f>(timeline!$F$10,timeline!$H$10,timeline!$J$10,timeline!$L$10)</c:f>
                <c:numCache>
                  <c:ptCount val="4"/>
                  <c:pt idx="0">
                    <c:v>14018.255363983704</c:v>
                  </c:pt>
                  <c:pt idx="1">
                    <c:v>17550.053604376568</c:v>
                  </c:pt>
                  <c:pt idx="2">
                    <c:v>14180.718693658204</c:v>
                  </c:pt>
                  <c:pt idx="3">
                    <c:v>22779.101060542303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(timeline!$E$10,timeline!$G$10,timeline!$I$10,timeline!$K$10)</c:f>
              <c:numCache/>
            </c:numRef>
          </c:val>
        </c:ser>
        <c:ser>
          <c:idx val="1"/>
          <c:order val="1"/>
          <c:tx>
            <c:v>C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(timeline!$F$11,timeline!$H$11,timeline!$J$11,timeline!$L$11)</c:f>
                <c:numCache>
                  <c:ptCount val="4"/>
                  <c:pt idx="0">
                    <c:v>10252.061022426573</c:v>
                  </c:pt>
                  <c:pt idx="1">
                    <c:v>17351.372216256084</c:v>
                  </c:pt>
                  <c:pt idx="2">
                    <c:v>18686.593090235736</c:v>
                  </c:pt>
                  <c:pt idx="3">
                    <c:v>19428.75794933468</c:v>
                  </c:pt>
                </c:numCache>
              </c:numRef>
            </c:plus>
            <c:minus>
              <c:numRef>
                <c:f>(timeline!$F$11,timeline!$H$11,timeline!$J$11,timeline!$L$11)</c:f>
                <c:numCache>
                  <c:ptCount val="4"/>
                  <c:pt idx="0">
                    <c:v>10252.061022426573</c:v>
                  </c:pt>
                  <c:pt idx="1">
                    <c:v>17351.372216256084</c:v>
                  </c:pt>
                  <c:pt idx="2">
                    <c:v>18686.593090235736</c:v>
                  </c:pt>
                  <c:pt idx="3">
                    <c:v>19428.75794933468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(timeline!$E$11,timeline!$G$11,timeline!$I$11,timeline!$K$11)</c:f>
              <c:numCache/>
            </c:numRef>
          </c:val>
        </c:ser>
        <c:ser>
          <c:idx val="2"/>
          <c:order val="2"/>
          <c:tx>
            <c:v>Ca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(timeline!$F$12,timeline!$H$12,timeline!$J$12,timeline!$L$12)</c:f>
                <c:numCache>
                  <c:ptCount val="4"/>
                  <c:pt idx="0">
                    <c:v>13716.968626272304</c:v>
                  </c:pt>
                  <c:pt idx="1">
                    <c:v>17157.890066090644</c:v>
                  </c:pt>
                  <c:pt idx="2">
                    <c:v>15788.542317977226</c:v>
                  </c:pt>
                  <c:pt idx="3">
                    <c:v>18410.788260567166</c:v>
                  </c:pt>
                </c:numCache>
              </c:numRef>
            </c:plus>
            <c:minus>
              <c:numRef>
                <c:f>(timeline!$F$12,timeline!$H$12,timeline!$J$12,timeline!$L$12)</c:f>
                <c:numCache>
                  <c:ptCount val="4"/>
                  <c:pt idx="0">
                    <c:v>13716.968626272304</c:v>
                  </c:pt>
                  <c:pt idx="1">
                    <c:v>17157.890066090644</c:v>
                  </c:pt>
                  <c:pt idx="2">
                    <c:v>15788.542317977226</c:v>
                  </c:pt>
                  <c:pt idx="3">
                    <c:v>18410.788260567166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(timeline!$E$12,timeline!$G$12,timeline!$I$12,timeline!$K$12)</c:f>
              <c:numCache/>
            </c:numRef>
          </c:val>
        </c:ser>
        <c:ser>
          <c:idx val="3"/>
          <c:order val="3"/>
          <c:tx>
            <c:v>C and Ca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(timeline!$F$13,timeline!$H$13,timeline!$J$13,timeline!$L$13)</c:f>
                <c:numCache>
                  <c:ptCount val="4"/>
                  <c:pt idx="0">
                    <c:v>19700.629506298825</c:v>
                  </c:pt>
                  <c:pt idx="1">
                    <c:v>20891.194994531732</c:v>
                  </c:pt>
                  <c:pt idx="2">
                    <c:v>21013.16950565957</c:v>
                  </c:pt>
                  <c:pt idx="3">
                    <c:v>19206.49312862457</c:v>
                  </c:pt>
                </c:numCache>
              </c:numRef>
            </c:plus>
            <c:minus>
              <c:numRef>
                <c:f>(timeline!$F$13,timeline!$H$13,timeline!$J$13,timeline!$L$13)</c:f>
                <c:numCache>
                  <c:ptCount val="4"/>
                  <c:pt idx="0">
                    <c:v>19700.629506298825</c:v>
                  </c:pt>
                  <c:pt idx="1">
                    <c:v>20891.194994531732</c:v>
                  </c:pt>
                  <c:pt idx="2">
                    <c:v>21013.16950565957</c:v>
                  </c:pt>
                  <c:pt idx="3">
                    <c:v>19206.49312862457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(timeline!$E$13,timeline!$G$13,timeline!$I$13,timeline!$K$13)</c:f>
              <c:numCache/>
            </c:numRef>
          </c:val>
        </c:ser>
        <c:axId val="67098474"/>
        <c:axId val="67015355"/>
      </c:barChart>
      <c:catAx>
        <c:axId val="6709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in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7015355"/>
        <c:crosses val="autoZero"/>
        <c:auto val="0"/>
        <c:lblOffset val="100"/>
        <c:noMultiLvlLbl val="0"/>
      </c:catAx>
      <c:valAx>
        <c:axId val="67015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microarthropods/m2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984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Micros / g OM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Control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(timeline!$F$32,timeline!$H$32,timeline!$J$32,timeline!$L$32)</c:f>
                <c:numCache>
                  <c:ptCount val="4"/>
                  <c:pt idx="0">
                    <c:v>5.760148522030998</c:v>
                  </c:pt>
                  <c:pt idx="1">
                    <c:v>5.182020822482749</c:v>
                  </c:pt>
                  <c:pt idx="2">
                    <c:v>4.875544445414906</c:v>
                  </c:pt>
                  <c:pt idx="3">
                    <c:v>13.60701672769911</c:v>
                  </c:pt>
                </c:numCache>
              </c:numRef>
            </c:plus>
            <c:minus>
              <c:numRef>
                <c:f>(timeline!$F$32,timeline!$H$32,timeline!$J$32,timeline!$L$32)</c:f>
                <c:numCache>
                  <c:ptCount val="4"/>
                  <c:pt idx="0">
                    <c:v>5.760148522030998</c:v>
                  </c:pt>
                  <c:pt idx="1">
                    <c:v>5.182020822482749</c:v>
                  </c:pt>
                  <c:pt idx="2">
                    <c:v>4.875544445414906</c:v>
                  </c:pt>
                  <c:pt idx="3">
                    <c:v>13.60701672769911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(timeline!$E$32,timeline!$G$32,timeline!$I$32,timeline!$K$32)</c:f>
              <c:numCache/>
            </c:numRef>
          </c:val>
        </c:ser>
        <c:ser>
          <c:idx val="1"/>
          <c:order val="1"/>
          <c:tx>
            <c:v>C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(timeline!$F$33,timeline!$H$33,timeline!$J$33,timeline!$L$33)</c:f>
                <c:numCache>
                  <c:ptCount val="4"/>
                  <c:pt idx="0">
                    <c:v>4.366265491662579</c:v>
                  </c:pt>
                  <c:pt idx="1">
                    <c:v>5.559093693247064</c:v>
                  </c:pt>
                  <c:pt idx="2">
                    <c:v>7.893774354170403</c:v>
                  </c:pt>
                  <c:pt idx="3">
                    <c:v>9.481052130850756</c:v>
                  </c:pt>
                </c:numCache>
              </c:numRef>
            </c:plus>
            <c:minus>
              <c:numRef>
                <c:f>(timeline!$F$33,timeline!$H$33,timeline!$J$33,timeline!$L$33)</c:f>
                <c:numCache>
                  <c:ptCount val="4"/>
                  <c:pt idx="0">
                    <c:v>4.366265491662579</c:v>
                  </c:pt>
                  <c:pt idx="1">
                    <c:v>5.559093693247064</c:v>
                  </c:pt>
                  <c:pt idx="2">
                    <c:v>7.893774354170403</c:v>
                  </c:pt>
                  <c:pt idx="3">
                    <c:v>9.481052130850756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(timeline!$E$33,timeline!$G$33,timeline!$I$33,timeline!$K$33)</c:f>
              <c:numCache/>
            </c:numRef>
          </c:val>
        </c:ser>
        <c:ser>
          <c:idx val="2"/>
          <c:order val="2"/>
          <c:tx>
            <c:v>Ca only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(timeline!$F$34,timeline!$H$34,timeline!$J$34,timeline!$L$34)</c:f>
                <c:numCache>
                  <c:ptCount val="4"/>
                  <c:pt idx="0">
                    <c:v>4.64705605158715</c:v>
                  </c:pt>
                  <c:pt idx="1">
                    <c:v>6.6586846336695755</c:v>
                  </c:pt>
                  <c:pt idx="2">
                    <c:v>6.3001832969158915</c:v>
                  </c:pt>
                  <c:pt idx="3">
                    <c:v>7.808355262443277</c:v>
                  </c:pt>
                </c:numCache>
              </c:numRef>
            </c:plus>
            <c:minus>
              <c:numRef>
                <c:f>(timeline!$F$34,timeline!$H$34,timeline!$J$34,timeline!$L$34)</c:f>
                <c:numCache>
                  <c:ptCount val="4"/>
                  <c:pt idx="0">
                    <c:v>4.64705605158715</c:v>
                  </c:pt>
                  <c:pt idx="1">
                    <c:v>6.6586846336695755</c:v>
                  </c:pt>
                  <c:pt idx="2">
                    <c:v>6.3001832969158915</c:v>
                  </c:pt>
                  <c:pt idx="3">
                    <c:v>7.808355262443277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(timeline!$E$34,timeline!$G$34,timeline!$I$34,timeline!$K$34)</c:f>
              <c:numCache/>
            </c:numRef>
          </c:val>
        </c:ser>
        <c:ser>
          <c:idx val="3"/>
          <c:order val="3"/>
          <c:tx>
            <c:v>C and Ca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(timeline!$F$35,timeline!$H$35,timeline!$J$35,timeline!$L$34,timeline!$L$35,timeline!$L$34)</c:f>
                <c:numCache>
                  <c:ptCount val="4"/>
                  <c:pt idx="0">
                    <c:v>5.225354917056015</c:v>
                  </c:pt>
                  <c:pt idx="1">
                    <c:v>6.157458955431033</c:v>
                  </c:pt>
                  <c:pt idx="2">
                    <c:v>6.708602853640388</c:v>
                  </c:pt>
                  <c:pt idx="3">
                    <c:v>7.808355262443277</c:v>
                  </c:pt>
                </c:numCache>
              </c:numRef>
            </c:plus>
            <c:minus>
              <c:numRef>
                <c:f>(timeline!$F$35,timeline!$H$35,timeline!$J$35,timeline!$L$34,timeline!$L$35,timeline!$L$34)</c:f>
                <c:numCache>
                  <c:ptCount val="4"/>
                  <c:pt idx="0">
                    <c:v>5.225354917056015</c:v>
                  </c:pt>
                  <c:pt idx="1">
                    <c:v>6.157458955431033</c:v>
                  </c:pt>
                  <c:pt idx="2">
                    <c:v>6.708602853640388</c:v>
                  </c:pt>
                  <c:pt idx="3">
                    <c:v>7.808355262443277</c:v>
                  </c:pt>
                </c:numCache>
              </c:numRef>
            </c:minus>
            <c:noEndCap val="0"/>
          </c:errBars>
          <c:cat>
            <c:strRef>
              <c:f>(timeline!$E$8,timeline!$G$8,timeline!$I$8,timeline!$K$8)</c:f>
              <c:strCache/>
            </c:strRef>
          </c:cat>
          <c:val>
            <c:numRef>
              <c:f>(timeline!$E$35,timeline!$G$35,timeline!$I$35,timeline!$K$35)</c:f>
              <c:numCache/>
            </c:numRef>
          </c:val>
        </c:ser>
        <c:axId val="66267284"/>
        <c:axId val="59534645"/>
      </c:barChart>
      <c:catAx>
        <c:axId val="6626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 in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34645"/>
        <c:crosses val="autoZero"/>
        <c:auto val="0"/>
        <c:lblOffset val="100"/>
        <c:noMultiLvlLbl val="0"/>
      </c:catAx>
      <c:valAx>
        <c:axId val="59534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microarthropods / g OM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267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47</xdr:row>
      <xdr:rowOff>123825</xdr:rowOff>
    </xdr:from>
    <xdr:to>
      <xdr:col>17</xdr:col>
      <xdr:colOff>571500</xdr:colOff>
      <xdr:row>65</xdr:row>
      <xdr:rowOff>66675</xdr:rowOff>
    </xdr:to>
    <xdr:graphicFrame>
      <xdr:nvGraphicFramePr>
        <xdr:cNvPr id="1" name="Chart 1"/>
        <xdr:cNvGraphicFramePr/>
      </xdr:nvGraphicFramePr>
      <xdr:xfrm>
        <a:off x="5172075" y="7734300"/>
        <a:ext cx="58959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44</xdr:row>
      <xdr:rowOff>123825</xdr:rowOff>
    </xdr:from>
    <xdr:to>
      <xdr:col>13</xdr:col>
      <xdr:colOff>95250</xdr:colOff>
      <xdr:row>62</xdr:row>
      <xdr:rowOff>66675</xdr:rowOff>
    </xdr:to>
    <xdr:graphicFrame>
      <xdr:nvGraphicFramePr>
        <xdr:cNvPr id="2" name="Chart 2"/>
        <xdr:cNvGraphicFramePr/>
      </xdr:nvGraphicFramePr>
      <xdr:xfrm>
        <a:off x="3476625" y="72485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42</xdr:row>
      <xdr:rowOff>95250</xdr:rowOff>
    </xdr:from>
    <xdr:to>
      <xdr:col>10</xdr:col>
      <xdr:colOff>476250</xdr:colOff>
      <xdr:row>60</xdr:row>
      <xdr:rowOff>38100</xdr:rowOff>
    </xdr:to>
    <xdr:graphicFrame>
      <xdr:nvGraphicFramePr>
        <xdr:cNvPr id="3" name="Chart 3"/>
        <xdr:cNvGraphicFramePr/>
      </xdr:nvGraphicFramePr>
      <xdr:xfrm>
        <a:off x="2028825" y="6896100"/>
        <a:ext cx="46767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6"/>
  <sheetViews>
    <sheetView workbookViewId="0" topLeftCell="C2">
      <selection activeCell="P43" sqref="P43"/>
    </sheetView>
  </sheetViews>
  <sheetFormatPr defaultColWidth="9.140625" defaultRowHeight="12.75"/>
  <cols>
    <col min="5" max="5" width="10.140625" style="0" bestFit="1" customWidth="1"/>
    <col min="6" max="6" width="10.140625" style="0" customWidth="1"/>
    <col min="14" max="16" width="9.140625" style="20" customWidth="1"/>
  </cols>
  <sheetData>
    <row r="2" ht="12.75">
      <c r="A2" t="s">
        <v>194</v>
      </c>
    </row>
    <row r="3" ht="12.75">
      <c r="A3" t="s">
        <v>195</v>
      </c>
    </row>
    <row r="4" ht="12.75">
      <c r="A4" t="s">
        <v>196</v>
      </c>
    </row>
    <row r="7" spans="9:15" ht="12.75">
      <c r="I7" s="33" t="s">
        <v>303</v>
      </c>
      <c r="M7" s="33" t="s">
        <v>304</v>
      </c>
      <c r="O7" s="33" t="s">
        <v>336</v>
      </c>
    </row>
    <row r="8" spans="1:26" ht="12.75">
      <c r="A8" t="s">
        <v>193</v>
      </c>
      <c r="E8" s="31">
        <v>37041</v>
      </c>
      <c r="F8" s="31" t="s">
        <v>302</v>
      </c>
      <c r="G8" s="31">
        <v>37068</v>
      </c>
      <c r="H8" s="31" t="s">
        <v>302</v>
      </c>
      <c r="I8" s="31">
        <v>37096</v>
      </c>
      <c r="J8" s="31" t="s">
        <v>302</v>
      </c>
      <c r="K8" s="31">
        <v>37148</v>
      </c>
      <c r="L8" s="31" t="s">
        <v>302</v>
      </c>
      <c r="M8" s="31">
        <v>37466</v>
      </c>
      <c r="N8" s="32" t="s">
        <v>302</v>
      </c>
      <c r="O8" s="31">
        <v>37447</v>
      </c>
      <c r="P8" s="32" t="s">
        <v>302</v>
      </c>
      <c r="S8" s="31">
        <v>37041</v>
      </c>
      <c r="T8" s="31" t="s">
        <v>302</v>
      </c>
      <c r="U8" s="31">
        <v>37068</v>
      </c>
      <c r="V8" s="31" t="s">
        <v>302</v>
      </c>
      <c r="W8" s="31">
        <v>37096</v>
      </c>
      <c r="X8" s="31" t="s">
        <v>302</v>
      </c>
      <c r="Y8" s="31">
        <v>37148</v>
      </c>
      <c r="Z8" s="31" t="s">
        <v>302</v>
      </c>
    </row>
    <row r="9" spans="18:26" ht="12.75">
      <c r="R9" t="s">
        <v>309</v>
      </c>
      <c r="S9" s="20">
        <f>AVERAGE('30 May00'!T3:T4,'30 May00'!T7:T8,'30 May00'!T11:T12,'30 May00'!T15:T16,'30 May00'!T19:T20,'30 May00'!T23:T24,'30 May00'!T27:T28,'30 May00'!T31:T32,'30 May00'!T35:T36,'30 May00'!T38,'30 May00'!T38,'30 May00'!T39:T40)</f>
        <v>111522.87203242615</v>
      </c>
      <c r="T9" s="20">
        <f>STDEV('30 May00'!T3:T4,'30 May00'!T7:T8,'30 May00'!T11:T12,'30 May00'!T15:T16,'30 May00'!T19:T20,'30 May00'!T23:T24,'30 May00'!T27:T28,'30 May00'!T31:T32,'30 May00'!T35:T36,'30 May00'!T38,'30 May00'!T38,'30 May00'!T39:T40)/SQRT(20)</f>
        <v>12124.630198621677</v>
      </c>
      <c r="U9" s="20">
        <f>AVERAGE('26June00'!T3:T4,'26June00'!T7:T8,'26June00'!T11:T12,'26June00'!T15:T16,'26June00'!T19:T20,'26June00'!T23:T24,'26June00'!T27:T28,'26June00'!T31:T32,'26June00'!T35:T36,'26June00'!T39:T40)</f>
        <v>104968.15286624202</v>
      </c>
      <c r="V9" s="20">
        <f>STDEV('26June00'!T3:T4,'26June00'!T7:T8,'26June00'!T11:T12,'26June00'!T15:T16,'26June00'!T19:T20,'26June00'!T23:T24,'26June00'!T27:T28,'26June00'!T31:T32,'26June00'!T35:T36,'26June00'!T39:T40)/SQRT(20)</f>
        <v>11968.729206896125</v>
      </c>
      <c r="W9" s="20">
        <f>AVERAGE('24July00'!T3:T4,'24July00'!T7:T8,'24July00'!T11:T12,'24July00'!T15:T16,'24July00'!T19:T20,'24July00'!T23:T24,'24July00'!T27:T28,'24July00'!T31:T32,'24July00'!T35:T36,'24July00'!T39:T40)</f>
        <v>169503.18471337575</v>
      </c>
      <c r="X9" s="20">
        <f>STDEV('24July00'!T3:T4,'24July00'!T7:T8,'24July00'!T11:T12,'24July00'!T15:T16,'24July00'!T19:T20,'24July00'!T23:T24,'24July00'!T27:T28,'24July00'!T31:T32,'24July00'!T35:T36,'24July00'!T39:T40)/SQRT(20)</f>
        <v>10328.5581619009</v>
      </c>
      <c r="Y9" s="20">
        <f>AVERAGE('14Sept00'!U3:U5,'14Sept00'!U9:U11,'14Sept00'!U15:U17,'14Sept00'!U21:U23,'14Sept00'!U27:U29,'14Sept00'!U33:U35,'14Sept00'!U39:U41,'14Sept00'!U45:U47,'14Sept00'!U51:U53,'14Sept00'!U57:U59)</f>
        <v>165995.75371549893</v>
      </c>
      <c r="Z9" s="20">
        <f>STDEV('14Sept00'!U3:U5,'14Sept00'!U9:U11,'14Sept00'!U15:U17,'14Sept00'!U21:U23,'14Sept00'!U27:U29,'14Sept00'!U33:U35,'14Sept00'!U39:U41,'14Sept00'!U45:U47,'14Sept00'!U51:U53,'14Sept00'!U57:U59)/SQRT(30)</f>
        <v>14643.792758108151</v>
      </c>
    </row>
    <row r="10" spans="3:26" ht="12.75">
      <c r="C10" t="s">
        <v>252</v>
      </c>
      <c r="D10" s="30" t="s">
        <v>9</v>
      </c>
      <c r="E10" s="20">
        <f>AVERAGE('30 May00'!T3:T4,'30 May00'!T11:T12,'30 May00'!T19:T20,'30 May00'!T27:T28,'30 May00'!T35:T36)</f>
        <v>144560.5095541401</v>
      </c>
      <c r="F10" s="20">
        <f>STDEV('30 May00'!T3:T4,'30 May00'!T11:T12,'30 May00'!T19:T20,'30 May00'!T27:T28,'30 May00'!T35:T36)/SQRT(10)</f>
        <v>14018.255363983704</v>
      </c>
      <c r="G10" s="20">
        <f>AVERAGE('26June00'!T3:T4,'26June00'!T11:T12,'26June00'!T19:T20,'26June00'!T27:T28,'26June00'!T35:T36)</f>
        <v>108280.25477707006</v>
      </c>
      <c r="H10" s="20">
        <f>STDEV('26June00'!T3:T4,'26June00'!T11:T12,'26June00'!T19:T20,'26June00'!T27:T28,'26June00'!T35:T36)/SQRT(10)</f>
        <v>17550.053604376568</v>
      </c>
      <c r="I10" s="20">
        <f>AVERAGE('24July00'!T3:T4,'24July00'!T11:T12,'24July00'!T19:T20,'24July00'!T27:T28,'24July00'!T35:T36)</f>
        <v>169019.10828025476</v>
      </c>
      <c r="J10" s="20">
        <f>STDEV('24July00'!T3:T4,'24July00'!T11:T12,'24July00'!T19:T20,'24July00'!T27:T28,'24July00'!T35:T36)/SQRT(10)</f>
        <v>14180.718693658204</v>
      </c>
      <c r="K10" s="20">
        <f>AVERAGE('14Sept00'!U3:U5,'14Sept00'!U15:U17,'14Sept00'!U27:U29,'14Sept00'!U39:U41,'14Sept00'!U51:U53)</f>
        <v>180619.957537155</v>
      </c>
      <c r="L10" s="20">
        <f>STDEV('14Sept00'!U3:U5,'14Sept00'!U15:U17,'14Sept00'!U27:U29,'14Sept00'!U39:U41,'14Sept00'!U51:U53)/SQRT(15)</f>
        <v>22779.101060542303</v>
      </c>
      <c r="M10" s="20">
        <f>AVERAGE('29July01'!U3:U5,'29July01'!U9:U11,'29July01'!U15:U17,'29July01'!U21:U23,'29July01'!U27:U29)</f>
        <v>123278.13163481953</v>
      </c>
      <c r="N10" s="20">
        <f>STDEV('29July01'!U3:U5,'29July01'!U9:U11,'29July01'!U15:U17,'29July01'!U21:U23,'29July01'!U27:U29)/SQRT(15)</f>
        <v>19231.741345684542</v>
      </c>
      <c r="O10" s="20">
        <f>AVERAGE('10July02'!U9:U11,'10July02'!U3:U5,'10July02'!U15:U17,'10July02'!U21:U23,'10July02'!U27:U29)</f>
        <v>83838.64118895965</v>
      </c>
      <c r="P10" s="20">
        <f>STDEV('10July02'!U3:U5,'10July02'!U9:U11,'10July02'!U15:U17,'10July02'!U21:U23,'10July02'!U27:U29)/SQRT(15)</f>
        <v>8308.47357098409</v>
      </c>
      <c r="R10" t="s">
        <v>11</v>
      </c>
      <c r="S10" s="20">
        <f>AVERAGE('30 May00'!T5:T6,'30 May00'!T9:T10,'30 May00'!T13:T14,'30 May00'!T17:T18,'30 May00'!T21:T22,'30 May00'!T25:T26,'30 May00'!T29:T30,'30 May00'!T33:T34,'30 May00'!T37:T38,'30 May00'!T41:T42)</f>
        <v>110165.60509554138</v>
      </c>
      <c r="T10" s="20">
        <f>STDEV('30 May00'!T5:T6,'30 May00'!T9:T10,'30 May00'!T13:T14,'30 May00'!T17:T18,'30 May00'!T21:T22,'30 May00'!T25:T26,'30 May00'!T29:T30,'30 May00'!T33:T34,'30 May00'!T37:T38,'30 May00'!T41:T42)/SQRT(20)</f>
        <v>10987.18234217003</v>
      </c>
      <c r="U10" s="20">
        <f>AVERAGE('26June00'!T5:T6,'26June00'!T9:T10,'26June00'!T13:T14,'26June00'!T17:T18,'26June00'!T21:T22,'26June00'!T25:T26,'26June00'!T29:T30,'26June00'!T33:T34,'26June00'!T37:T38,'26June00'!T41:T42)</f>
        <v>133171.974522293</v>
      </c>
      <c r="V10" s="20">
        <f>STDEV('26June00'!T5:T6,'26June00'!T9:T10,'26June00'!T13:T14,'26June00'!T17:T18,'26June00'!T21:T22,'26June00'!T25:T26,'26June00'!T29:T30,'26June00'!T33:T34,'26June00'!T37:T38,'26June00'!T41:T42)/SQRT(20)</f>
        <v>13517.030959420139</v>
      </c>
      <c r="W10" s="20">
        <f>AVERAGE('24July00'!T5:T6,'24July00'!T9:T10,'24July00'!T13:T14,'24July00'!T17:T18,'24July00'!T21:T22,'24July00'!T25:T26,'24July00'!T29:T30,'24July00'!T33:T34,'24July00'!T37:T38,'24July00'!T41:T42)</f>
        <v>191592.35668789808</v>
      </c>
      <c r="X10" s="20">
        <f>STDEV('24July00'!T5:T6,'24July00'!T9:T10,'24July00'!T13:T14,'24July00'!T17:T18,'24July00'!T21:T22,'24July00'!T25:T26,'24July00'!T29:T30,'24July00'!T33:T34,'24July00'!T37:T38,'24July00'!T41:T42)/SQRT(20)</f>
        <v>14118.613829784666</v>
      </c>
      <c r="Y10" s="20">
        <f>AVERAGE('14Sept00'!U6:U8,'14Sept00'!U12:U14,'14Sept00'!U18:U20,'14Sept00'!U24:U26,'14Sept00'!U30:U32,'14Sept00'!U36:U38,'14Sept00'!U42:U44,'14Sept00'!U48:U50,'14Sept00'!U54:U56,'14Sept00'!U60:U62)</f>
        <v>186411.88959660297</v>
      </c>
      <c r="Z10" s="20">
        <f>STDEV('14Sept00'!U6:U8,'14Sept00'!U12:U14,'14Sept00'!U18:U20,'14Sept00'!U24:U26,'14Sept00'!U30:U32,'14Sept00'!U36:U38,'14Sept00'!U42:U44,'14Sept00'!U48:U50,'14Sept00'!U54:U56,'14Sept00'!U60:U62)/SQRT(30)</f>
        <v>13516.446573775262</v>
      </c>
    </row>
    <row r="11" spans="4:12" ht="12.75">
      <c r="D11" s="30" t="s">
        <v>10</v>
      </c>
      <c r="E11" s="20">
        <f>AVERAGE('30 May00'!T5:T6,'30 May00'!T13:T14,'30 May00'!T21:T22,'30 May00'!T29:T30,'30 May00'!T37:T38)</f>
        <v>101554.14012738853</v>
      </c>
      <c r="F11" s="20">
        <f>STDEV('30 May00'!T5:T6,'30 May00'!T13:T14,'30 May00'!T21:T22,'30 May00'!T29:T30,'30 May00'!T37:T38)/SQRT(10)</f>
        <v>10252.061022426573</v>
      </c>
      <c r="G11" s="20">
        <f>AVERAGE('26June00'!T5:T6,'26June00'!T13:T14,'26June00'!T21:T22,'26June00'!T29:T30,'26June00'!T37:T38)</f>
        <v>120815.28662420381</v>
      </c>
      <c r="H11" s="20">
        <f>STDEV('26June00'!T5:T6,'26June00'!T13:T14,'26June00'!T21:T22,'26June00'!T29:T30,'26June00'!T37:T38)/SQRT(10)</f>
        <v>17351.372216256084</v>
      </c>
      <c r="I11" s="20">
        <f>AVERAGE('24July00'!T5:T6,'24July00'!T13:T14,'24July00'!T21:T22,'24July00'!T29:T30,'24July00'!T37:T38)</f>
        <v>206726.11464968146</v>
      </c>
      <c r="J11" s="20">
        <f>STDEV('24July00'!T5:T6,'24July00'!T13:T14,'24July00'!T21:T22,'24July00'!T29:T30,'24July00'!T37:T38)/SQRT(10)</f>
        <v>18686.593090235736</v>
      </c>
      <c r="K11" s="20">
        <f>AVERAGE('14Sept00'!U6:U8,'14Sept00'!U18:U20,'14Sept00'!U30:U32,'14Sept00'!U42:U44,'14Sept00'!U54:U56)</f>
        <v>194989.3842887473</v>
      </c>
      <c r="L11" s="20">
        <f>STDEV('14Sept00'!U6:U8,'14Sept00'!U18:U20,'14Sept00'!U30:U32,'14Sept00'!U42:U44,'14Sept00'!U54:U56)/SQRT(15)</f>
        <v>19428.75794933468</v>
      </c>
    </row>
    <row r="12" spans="4:16" ht="12.75">
      <c r="D12" s="30" t="s">
        <v>11</v>
      </c>
      <c r="E12" s="20">
        <f>AVERAGE('30 May00'!T7:T8,'30 May00'!T15:T16,'30 May00'!T23:T24,'30 May00'!T31:T32,'30 May00'!T39:T40)</f>
        <v>94878.98089171972</v>
      </c>
      <c r="F12" s="20">
        <f>STDEV('30 May00'!T7:T8,'30 May00'!T15:T16,'30 May00'!T23:T24,'30 May00'!T31:T32,'30 May00'!T39:T40)/SQRT(10)</f>
        <v>13716.968626272304</v>
      </c>
      <c r="G12" s="20">
        <f>AVERAGE('26June00'!T7:T8,'26June00'!T15:T16,'26June00'!T23:T24,'26June00'!T31:T32,'26June00'!T39:T40)</f>
        <v>101656.050955414</v>
      </c>
      <c r="H12" s="20">
        <f>STDEV('26June00'!T7:T8,'26June00'!T15:T16,'26June00'!T23:T24,'26June00'!T31:T32,'26June00'!T39:T40)/SQRT(10)</f>
        <v>17157.890066090644</v>
      </c>
      <c r="I12" s="20">
        <f>AVERAGE('24July00'!T7:T8,'24July00'!T15:T16,'24July00'!T23:T24,'24July00'!T31:T32,'24July00'!T39:T40)</f>
        <v>169987.26114649678</v>
      </c>
      <c r="J12" s="20">
        <f>STDEV('24July00'!T7:T8,'24July00'!T15:T16,'24July00'!T23:T24,'24July00'!T31:T32,'24July00'!T39:T40)/SQRT(10)</f>
        <v>15788.542317977226</v>
      </c>
      <c r="K12" s="20">
        <f>AVERAGE('14Sept00'!U9:U11,'14Sept00'!U21:U23,'14Sept00'!U33:U35,'14Sept00'!U45:U47,'14Sept00'!U57:U59)</f>
        <v>151371.54989384286</v>
      </c>
      <c r="L12" s="20">
        <f>STDEV('14Sept00'!U9:U11,'14Sept00'!U21:U23,'14Sept00'!U33:U35,'14Sept00'!U45:U47,'14Sept00'!U57:U59)/SQRT(15)</f>
        <v>18410.788260567166</v>
      </c>
      <c r="M12" s="20">
        <f>AVERAGE('29July01'!U6:U8,'29July01'!U12:U14,'29July01'!U18:U20,'29July01'!U24:U26,'29July01'!U30:U32)</f>
        <v>107142.25053078556</v>
      </c>
      <c r="N12" s="20">
        <f>STDEV('29July01'!U6:U8,'29July01'!U12:U14,'29July01'!U18:U20,'29July01'!U24:U26,'29July01'!U30:U32)/SQRT(15)</f>
        <v>16530.410418750438</v>
      </c>
      <c r="O12" s="20">
        <f>AVERAGE('10July02'!U6:U8,'10July02'!U12:U14,'10July02'!U18:U20,'10July02'!U24:U26,'10July02'!U31:U32)</f>
        <v>64822.56596906277</v>
      </c>
      <c r="P12" s="20">
        <f>STDEV('10July02'!U6:U8,'10July02'!U12:U14,'10July02'!U18:U20,'10July02'!U24:U26,'10July02'!U31:U32)/SQRT(14)</f>
        <v>12852.48443523205</v>
      </c>
    </row>
    <row r="13" spans="4:12" ht="12.75">
      <c r="D13" s="30" t="s">
        <v>12</v>
      </c>
      <c r="E13" s="20">
        <f>AVERAGE('30 May00'!T9:T10,'30 May00'!T17:T18,'30 May00'!T25:T26,'30 May00'!T33:T34,'30 May00'!T41:T42)</f>
        <v>118777.07006369423</v>
      </c>
      <c r="F13" s="20">
        <f>STDEV('30 May00'!T9:T10,'30 May00'!T17:T18,'30 May00'!T25:T26,'30 May00'!T33:T34,'30 May00'!T41:T42)/SQRT(10)</f>
        <v>19700.629506298825</v>
      </c>
      <c r="G13" s="20">
        <f>AVERAGE('26June00'!T9:T10,'26June00'!T17:T18,'26June00'!T25:T26,'26June00'!T33:T34,'26June00'!T41:T42)</f>
        <v>145528.66242038214</v>
      </c>
      <c r="H13" s="20">
        <f>STDEV('26June00'!T9:T10,'26June00'!T17:T18,'26June00'!T25:T26,'26June00'!T33:T34,'26June00'!T41:T42)/SQRT(10)</f>
        <v>20891.194994531732</v>
      </c>
      <c r="I13" s="20">
        <f>AVERAGE('24July00'!T9:T10,'24July00'!T17:T18,'24July00'!T25:T26,'24July00'!T33:T34,'24July00'!T41:T42)</f>
        <v>176458.59872611464</v>
      </c>
      <c r="J13" s="20">
        <f>STDEV('24July00'!T9:T10,'24July00'!T17:T18,'24July00'!T25:T26,'24July00'!T33:T34,'24July00'!T41:T42)/SQRT(10)</f>
        <v>21013.16950565957</v>
      </c>
      <c r="K13" s="20">
        <f>AVERAGE('14Sept00'!U12:U14,'14Sept00'!U24:U26,'14Sept00'!U36:U38,'14Sept00'!U48:U50,'14Sept00'!U60:U62)</f>
        <v>177834.39490445855</v>
      </c>
      <c r="L13" s="20">
        <f>STDEV('14Sept00'!U12:U14,'14Sept00'!U24:U26,'14Sept00'!U36:U38,'14Sept00'!U48:U50,'14Sept00'!U60:U62)/SQRT(15)</f>
        <v>19206.49312862457</v>
      </c>
    </row>
    <row r="14" ht="12.75">
      <c r="D14" s="30"/>
    </row>
    <row r="15" spans="4:16" ht="12.75">
      <c r="D15" s="30">
        <v>1</v>
      </c>
      <c r="E15" s="20">
        <f>AVERAGE('30 May00'!T3:T10)</f>
        <v>146624.20382165603</v>
      </c>
      <c r="F15" s="20">
        <f>STDEV('30 May00'!T3:T10)/SQRT(8)</f>
        <v>19784.632952956403</v>
      </c>
      <c r="G15" s="20">
        <f>AVERAGE('26June00'!T3:T10)</f>
        <v>158280.25477707008</v>
      </c>
      <c r="H15" s="20">
        <f>STDEV('26June00'!T3:T10)/SQRT(8)</f>
        <v>14294.44277605624</v>
      </c>
      <c r="I15" s="20">
        <f>AVERAGE('24July00'!T3:T10)</f>
        <v>195414.01273885346</v>
      </c>
      <c r="J15" s="20">
        <f>STDEV('24July00'!T3:T10)/SQRT(8)</f>
        <v>27163.516897234058</v>
      </c>
      <c r="K15" s="20">
        <f>AVERAGE('14Sept00'!U3:U14)</f>
        <v>183184.71337579613</v>
      </c>
      <c r="L15" s="20">
        <f>STDEV('14Sept00'!U3:U14)/SQRT(12)</f>
        <v>24794.9830281445</v>
      </c>
      <c r="M15" s="20">
        <f>AVERAGE('29July01'!U3:U8)</f>
        <v>172399.15074309977</v>
      </c>
      <c r="N15" s="20">
        <f>STDEV('29July01'!U3:U8)/SQRT(6)</f>
        <v>25355.68799446</v>
      </c>
      <c r="O15" s="20">
        <f>AVERAGE('10July02'!U3:U8)</f>
        <v>77622.08067940551</v>
      </c>
      <c r="P15" s="20">
        <f>STDEV('10July02'!U3:U8)/SQRT(6)</f>
        <v>16086.997133660881</v>
      </c>
    </row>
    <row r="16" spans="4:16" ht="12.75">
      <c r="D16" s="30">
        <v>2</v>
      </c>
      <c r="E16" s="20">
        <f>AVERAGE('30 May00'!T11:T18)</f>
        <v>89936.30573248406</v>
      </c>
      <c r="F16" s="20">
        <f>STDEV('30 May00'!T11:T18)/SQRT(8)</f>
        <v>12050.17435962849</v>
      </c>
      <c r="G16" s="20">
        <f>AVERAGE('26June00'!T11:T18)</f>
        <v>74777.07006369425</v>
      </c>
      <c r="H16" s="20">
        <f>STDEV('26June00'!T11:T18)/SQRT(8)</f>
        <v>10868.201439005095</v>
      </c>
      <c r="I16" s="20">
        <f>AVERAGE('24July00'!T11:T18)</f>
        <v>160445.8598726114</v>
      </c>
      <c r="J16" s="20">
        <f>STDEV('24July00'!T11:T18)/SQRT(8)</f>
        <v>10635.198976583464</v>
      </c>
      <c r="K16" s="20">
        <f>AVERAGE('14Sept00'!U15:U26)</f>
        <v>178811.0403397027</v>
      </c>
      <c r="L16" s="20">
        <f>STDEV('14Sept00'!U15:U26)/SQRT(12)</f>
        <v>12985.901449567908</v>
      </c>
      <c r="M16" s="20">
        <f>AVERAGE('29July01'!U9:U14)</f>
        <v>140212.31422505307</v>
      </c>
      <c r="N16" s="20">
        <f>STDEV('29July01'!U9:U14)/SQRT(6)</f>
        <v>5507.612697878636</v>
      </c>
      <c r="O16" s="20">
        <f>AVERAGE('10July02'!U9:U14)</f>
        <v>75923.56687898088</v>
      </c>
      <c r="P16" s="20">
        <f>STDEV('10July02'!U9:U14)/SQRT(6)</f>
        <v>17396.13157754254</v>
      </c>
    </row>
    <row r="17" spans="4:16" ht="12.75">
      <c r="D17" s="30">
        <v>3</v>
      </c>
      <c r="E17" s="20">
        <f>AVERAGE('30 May00'!T19:T26)</f>
        <v>119108.28025477706</v>
      </c>
      <c r="F17" s="20">
        <f>STDEV('30 May00'!T19:T26)/SQRT(8)</f>
        <v>16927.069375918665</v>
      </c>
      <c r="G17" s="20">
        <f>AVERAGE('26June00'!T20:T27)</f>
        <v>101656.050955414</v>
      </c>
      <c r="H17" s="20">
        <f>STDEV('26June00'!T20:T27)/SQRT(8)</f>
        <v>13317.869281072868</v>
      </c>
      <c r="I17" s="20">
        <f>AVERAGE('24July00'!T19:T26)</f>
        <v>172165.60509554137</v>
      </c>
      <c r="J17" s="20">
        <f>STDEV('24July00'!T19:T26)/SQRT(8)</f>
        <v>15303.429494765125</v>
      </c>
      <c r="K17" s="20">
        <f>AVERAGE('14Sept00'!U27:U38)</f>
        <v>198301.48619957533</v>
      </c>
      <c r="L17" s="20">
        <f>STDEV('14Sept00'!U27:U38)/SQRT(12)</f>
        <v>16594.128965674812</v>
      </c>
      <c r="M17" s="20">
        <f>AVERAGE('29July01'!U15:U20)</f>
        <v>79745.2229299363</v>
      </c>
      <c r="N17" s="20">
        <f>STDEV('29July01'!U15:U20)/SQRT(6)</f>
        <v>26387.082922483467</v>
      </c>
      <c r="O17" s="20">
        <f>AVERAGE('10July02'!U15:U20)</f>
        <v>79490.4458598726</v>
      </c>
      <c r="P17" s="20">
        <f>STDEV('10July02'!U15:U20)/SQRT(6)</f>
        <v>17224.63841574484</v>
      </c>
    </row>
    <row r="18" spans="4:16" ht="12.75">
      <c r="D18" s="30">
        <v>4</v>
      </c>
      <c r="E18" s="20">
        <f>AVERAGE('30 May00'!T27:T34)</f>
        <v>109171.97452229298</v>
      </c>
      <c r="F18" s="20">
        <f>STDEV('30 May00'!T27:T34)/SQRT(8)</f>
        <v>8313.226158896487</v>
      </c>
      <c r="G18" s="20">
        <f>AVERAGE('26June00'!T27:T34)</f>
        <v>121974.52229299361</v>
      </c>
      <c r="H18" s="20">
        <f>STDEV('26June00'!T27:T34)/SQRT(8)</f>
        <v>12913.071651773571</v>
      </c>
      <c r="I18" s="20">
        <f>AVERAGE('24July00'!T27:T34)</f>
        <v>183184.71337579616</v>
      </c>
      <c r="J18" s="20">
        <f>STDEV('24July00'!T27:T34)/SQRT(8)</f>
        <v>27864.372743750402</v>
      </c>
      <c r="K18" s="20">
        <f>AVERAGE('14Sept00'!U39:U50)</f>
        <v>173418.25902335453</v>
      </c>
      <c r="L18" s="20">
        <f>STDEV('14Sept00'!U39:U50)/SQRT(12)</f>
        <v>13766.585090993669</v>
      </c>
      <c r="M18" s="20">
        <f>AVERAGE('29July01'!U21:U26)</f>
        <v>90360.93418259022</v>
      </c>
      <c r="N18" s="20">
        <f>STDEV('29July01'!U21:U26)/SQRT(6)</f>
        <v>38335.6483763083</v>
      </c>
      <c r="O18" s="20">
        <f>AVERAGE('10July02'!U15:U20)</f>
        <v>79490.4458598726</v>
      </c>
      <c r="P18" s="20">
        <f>STDEV('10July02'!U21:U26)/SQRT(6)</f>
        <v>20313.543363861325</v>
      </c>
    </row>
    <row r="19" spans="4:16" ht="12.75">
      <c r="D19" s="30">
        <v>5</v>
      </c>
      <c r="E19" s="20">
        <f>AVERAGE('30 May00'!T35:T42)</f>
        <v>109872.61146496815</v>
      </c>
      <c r="F19" s="20">
        <f>STDEV('30 May00'!T35:T42)/SQRT(8)</f>
        <v>23198.09580879695</v>
      </c>
      <c r="G19" s="20">
        <f>AVERAGE('26June00'!T35:T42)</f>
        <v>142993.6305732484</v>
      </c>
      <c r="H19" s="20">
        <f>STDEV('26June00'!T35:T42)/SQRT(8)</f>
        <v>32012.518705428534</v>
      </c>
      <c r="I19" s="20">
        <f>AVERAGE('24July00'!T35:T42)</f>
        <v>191528.66242038208</v>
      </c>
      <c r="J19" s="20">
        <f>STDEV('24July00'!T35:T42)/SQRT(8)</f>
        <v>13583.785234446392</v>
      </c>
      <c r="K19" s="20">
        <f>AVERAGE('14Sept00'!U51:U62)</f>
        <v>147303.60934182585</v>
      </c>
      <c r="L19" s="20">
        <f>STDEV('14Sept00'!U51:U62)/SQRT(12)</f>
        <v>35923.01703887964</v>
      </c>
      <c r="M19" s="20">
        <f>AVERAGE('29July01'!U27:U32)</f>
        <v>93333.33333333333</v>
      </c>
      <c r="N19" s="20">
        <f>STDEV('29July01'!U27:U32)/SQRT(6)</f>
        <v>21859.582265297355</v>
      </c>
      <c r="O19" s="20">
        <f>AVERAGE('10July02'!U27:U29,'10July02'!U31:U32)</f>
        <v>71031.84713375795</v>
      </c>
      <c r="P19" s="20">
        <f>STDEV('10July02'!U27:U29,'10July02'!U31:U32)/SQRT(5)</f>
        <v>20699.81772019345</v>
      </c>
    </row>
    <row r="20" ht="12.75">
      <c r="D20" s="30"/>
    </row>
    <row r="21" spans="3:16" ht="12.75">
      <c r="C21" t="s">
        <v>257</v>
      </c>
      <c r="D21" s="30" t="s">
        <v>9</v>
      </c>
      <c r="E21" s="20">
        <f>AVERAGE('30 May00'!Y3:Y4,'30 May00'!Y11:Y12,'30 May00'!Y19:Y20,'30 May00'!Y27:Y28,'30 May00'!Y35:Y36)</f>
        <v>25.144524397924</v>
      </c>
      <c r="F21" s="20">
        <f>STDEV('30 May00'!Y3:Y4,'30 May00'!Y11:Y12,'30 May00'!Y19:Y20,'30 May00'!Y27:Y28,'30 May00'!Y35:Y36)/SQRT(10)</f>
        <v>3.914433548327484</v>
      </c>
      <c r="G21" s="20">
        <f>AVERAGE('26June00'!Y3:Y4,'26June00'!Y11:Y12,'26June00'!Y19:Y20,'26June00'!Y27:Y28,'26June00'!Y35:Y36)</f>
        <v>16.36656932742338</v>
      </c>
      <c r="H21" s="20">
        <f>STDEV('26June00'!Y3:Y4,'26June00'!Y11:Y12,'26June00'!Y19:Y20,'26June00'!Y27:Y28,'26June00'!Y35:Y36)/SQRT(10)</f>
        <v>3.3673658988617885</v>
      </c>
      <c r="I21" s="20">
        <f>AVERAGE('24July00'!Y3:Y4,'24July00'!Y11:Y12,'24July00'!Y19:Y20,'24July00'!Y27:Y28,'24July00'!Y35,'24July00'!Y36)</f>
        <v>22.675164205912</v>
      </c>
      <c r="J21" s="20">
        <f>STDEV('24July00'!Y3:Y4,'24July00'!Y11:Y12,'24July00'!Y19:Y20,'24July00'!Y27:Y28,'24July00'!Y35,'24July00'!Y36)/SQRT(10)</f>
        <v>2.68756161127904</v>
      </c>
      <c r="K21" s="20">
        <f>AVERAGE('14Sept00'!Z3:Z5,'14Sept00'!Z15:Z17,'14Sept00'!Z27:Z29,'14Sept00'!Z39:Z41,'14Sept00'!Z51:Z53)</f>
        <v>41.61016047496173</v>
      </c>
      <c r="L21" s="20">
        <f>STDEV('14Sept00'!Z3:Z5,'14Sept00'!Z15:Z17,'14Sept00'!Z27:Z29,'14Sept00'!Z39:Z41,'14Sept00'!Z51:Z53)/SQRT(15)</f>
        <v>6.927502737516623</v>
      </c>
      <c r="M21" s="20">
        <f>AVERAGE('29July01'!Z3:Z5,'29July01'!Z9:Z11,'29July01'!Z15:Z17,'29July01'!Z21:Z23,'29July01'!Z27:Z29)</f>
        <v>19.22894417187468</v>
      </c>
      <c r="N21" s="20">
        <f>STDEV('29July01'!Z3:Z5,'29July01'!Z9:Z11,'29July01'!Z15:Z17,'29July01'!Z21:Z23,'29July01'!Z27:Z29)/SQRT(15)</f>
        <v>3.221074510634399</v>
      </c>
      <c r="O21" s="20">
        <f>AVERAGE('10July02'!Z3:Z5,'10July02'!Z9:Z11,'10July02'!Z15:Z17,'10July02'!Z21:Z23,'10July02'!Z27:Z29)</f>
        <v>15.110909246190845</v>
      </c>
      <c r="P21" s="20">
        <f>STDEV('10July02'!Z3:Z5,'10July02'!Z9:Z11,'10July02'!Z15:Z17,'10July02'!Z21:Z23,'10July02'!Z27:Z29)/SQRT(15)</f>
        <v>2.469316843046421</v>
      </c>
    </row>
    <row r="22" spans="4:13" ht="12.75">
      <c r="D22" s="30" t="s">
        <v>10</v>
      </c>
      <c r="E22" s="20">
        <f>AVERAGE('30 May00'!Y5:Y6,'30 May00'!Y13:Y14,'30 May00'!Y21:Y22,'30 May00'!Y29:Y30,'30 May00'!Y37:Y38)</f>
        <v>18.013833521161203</v>
      </c>
      <c r="F22" s="20">
        <f>STDEV('30 May00'!Y5:Y6,'30 May00'!Y13:Y14,'30 May00'!Y21:Y22,'30 May00'!Y29:Y30,'30 May00'!Y37:Y38)/SQRT(10)</f>
        <v>3.342841233439789</v>
      </c>
      <c r="G22" s="20">
        <f>AVERAGE('26June00'!Y5:Y6,'26June00'!Y13:Y14,'26June00'!Y21:Y22,'26June00'!Y29:Y30,'26June00'!Y37:Y38)</f>
        <v>17.116788357389304</v>
      </c>
      <c r="H22" s="20">
        <f>STDEV('26June00'!Y5:Y6,'26June00'!Y13:Y14,'26June00'!Y21:Y22,'26June00'!Y29:Y30,'26June00'!Y37:Y38)/SQRT(10)</f>
        <v>3.26268399520883</v>
      </c>
      <c r="I22" s="20">
        <f>AVERAGE('24July00'!Y5:Y6,'24July00'!Y13:Y14,'24July00'!Y21:Y22,'24July00'!Y29:Y30,'24July00'!Y37:Y38)</f>
        <v>27.247864954610492</v>
      </c>
      <c r="J22" s="20">
        <f>STDEV('24July00'!Y5:Y6,'24July00'!Y13:Y14,'24July00'!Y21:Y22,'24July00'!Y29:Y30,'24July00'!Y37:Y38)/SQRT(10)</f>
        <v>3.0540408640070686</v>
      </c>
      <c r="K22" s="20">
        <f>AVERAGE('14Sept00'!Z6:Z8,'14Sept00'!Z18:Z20,'14Sept00'!Z30:Z32,'14Sept00'!Z42:Z44,'14Sept00'!Z54:Z56)</f>
        <v>45.33835553459985</v>
      </c>
      <c r="L22" s="20">
        <f>STDEV('14Sept00'!Z6:Z8,'14Sept00'!Z18:Z20,'14Sept00'!Z30:Z32,'14Sept00'!Z42:Z44,'14Sept00'!Z54:Z56)/SQRT(15)</f>
        <v>7.682168645094032</v>
      </c>
      <c r="M22" s="20"/>
    </row>
    <row r="23" spans="4:16" ht="12.75">
      <c r="D23" s="30" t="s">
        <v>11</v>
      </c>
      <c r="E23" s="20">
        <f>AVERAGE('30 May00'!Y7:Y8,'30 May00'!Y15:Y16,'30 May00'!Y23:Y24,'30 May00'!Y31:Y32,'30 May00'!Y39:Y40)</f>
        <v>16.906623530479344</v>
      </c>
      <c r="F23" s="20">
        <f>STDEV('30 May00'!Y7:Y8,'30 May00'!Y15:Y16,'30 May00'!Y23:Y24,'30 May00'!Y31:Y32,'30 May00'!Y39:Y40)/SQRT(10)</f>
        <v>3.7344470725701284</v>
      </c>
      <c r="G23" s="20">
        <f>AVERAGE('26June00'!Y7:Y8,'26June00'!Y15:Y16,'26June00'!Y23:Y24,'26June00'!Y31:Y32,'26June00'!Y39:Y40)</f>
        <v>13.44623204935553</v>
      </c>
      <c r="H23" s="20">
        <f>STDEV('26June00'!Y7:Y8,'26June00'!Y15:Y16,'26June00'!Y23:Y24,'26June00'!Y31:Y32,'26June00'!Y39:Y40)/SQRT(10)</f>
        <v>3.0916861028510416</v>
      </c>
      <c r="I23" s="20">
        <f>AVERAGE('24July00'!Y7:Y8,'24July00'!Y15:Y16,'24July00'!Y23:Y24,'24July00'!Y31:Y32,'24July00'!Y39:Y40)</f>
        <v>25.834565005785226</v>
      </c>
      <c r="J23" s="20">
        <f>STDEV('24July00'!Y7:Y8,'24July00'!Y15:Y16,'24July00'!Y23:Y24,'24July00'!Y31:Y32,'24July00'!Y39:Y40)/SQRT(10)</f>
        <v>3.6086005767941916</v>
      </c>
      <c r="K23" s="20">
        <f>AVERAGE('14Sept00'!Z9:Z11,'14Sept00'!Z21:Z24,'14Sept00'!Z24,'14Sept00'!Z33:Z35,'14Sept00'!Z45:Z47,'14Sept00'!Z57:Z59)</f>
        <v>32.87727280118402</v>
      </c>
      <c r="L23" s="20">
        <f>STDEV('14Sept00'!Z9:Z11,'14Sept00'!Z21:Z24,'14Sept00'!Z24,'14Sept00'!Z33:Z35,'14Sept00'!Z45:Z47,'14Sept00'!Z57:Z59)/SQRT(15)</f>
        <v>4.42219136888807</v>
      </c>
      <c r="M23" s="20">
        <f>AVERAGE('29July01'!Z6:Z8,'29July01'!Z12:Z14,'29July01'!Z18:Z20,'29July01'!Z24:Z26,'29July01'!Z30:Z32)</f>
        <v>13.688700614561014</v>
      </c>
      <c r="N23" s="20">
        <f>STDEV('29July01'!Z6:Z8,'29July01'!Z12:Z14,'29July01'!Z18:Z20,'29July01'!Z24:Z26,'29July01'!Z30:Z32)/SQRT(15)</f>
        <v>2.296838883289289</v>
      </c>
      <c r="O23" s="20">
        <f>AVERAGE('10July02'!Z6:Z8,'10July02'!Z12:Z14,'10July02'!Z18:Z20,'10July02'!Z24:Z27,'10July02'!Z27,'10July02'!Z30:Z32,'10July02'!Z30)</f>
        <v>10.662980357182224</v>
      </c>
      <c r="P23" s="20">
        <f>STDEV('10July02'!Z6:Z8,'10July02'!Z12:Z14,'10July02'!Z18:Z20,'10July02'!Z24:Z26,'10July02'!Z31:Z32)/SQRT(14)</f>
        <v>3.248937553281803</v>
      </c>
    </row>
    <row r="24" spans="4:13" ht="12.75">
      <c r="D24" s="30" t="s">
        <v>12</v>
      </c>
      <c r="E24" s="20">
        <f>AVERAGE('30 May00'!Y9:Y10,'30 May00'!Y17:Y18,'30 May00'!Y25:Y26,'30 May00'!Y33:Y34,'30 May00'!Y41:Y42)</f>
        <v>21.492511562318917</v>
      </c>
      <c r="F24" s="20">
        <f>STDEV('30 May00'!Y9:Y10,'30 May00'!Y17:Y18,'30 May00'!Y25:Y26,'30 May00'!Y33:Y34,'30 May00'!Y41:Y42)/SQRT(10)</f>
        <v>3.6873003271133498</v>
      </c>
      <c r="G24" s="20">
        <f>AVERAGE('26June00'!Y9:Y10,'26June00'!Y17:Y18,'26June00'!Y25:Y26,'26June00'!Y33:Y34,'26June00'!Y41:Y42)</f>
        <v>21.89041612540858</v>
      </c>
      <c r="H24" s="20">
        <f>STDEV('26June00'!Y9:Y10,'26June00'!Y17:Y18,'26June00'!Y25:Y26,'26June00'!Y33:Y34,'26June00'!Y41:Y42)/SQRT(10)</f>
        <v>6.446493693297688</v>
      </c>
      <c r="I24" s="20">
        <f>AVERAGE('24July00'!Y9:Y10,'24July00'!Y17:Y18,'24July00'!Y25:Y26,'24July00'!Y33:Y34,'24July00'!Y41:Y42)</f>
        <v>29.93846083015655</v>
      </c>
      <c r="J24" s="20">
        <f>STDEV('24July00'!Y9:Y10,'24July00'!Y17:Y18,'24July00'!Y25:Y26,'24July00'!Y33:Y34,'24July00'!Y41:Y42)/SQRT(10)</f>
        <v>2.8714033063157585</v>
      </c>
      <c r="K24" s="20">
        <f>AVERAGE('14Sept00'!Z12:Z14,'14Sept00'!Z24:Z26,'14Sept00'!Z36:Z38,'14Sept00'!Z48:Z50,'14Sept00'!Z60:Z62)</f>
        <v>35.12324023810677</v>
      </c>
      <c r="L24" s="20">
        <f>STDEV('14Sept00'!Z12:Z14,'14Sept00'!Z24:Z26,'14Sept00'!Z36:Z38,'14Sept00'!Z48:Z50,'14Sept00'!Z60:Z62)/SQRT(15)</f>
        <v>5.447613279171084</v>
      </c>
      <c r="M24" s="20"/>
    </row>
    <row r="25" spans="4:13" ht="12.75">
      <c r="D25" s="30"/>
      <c r="E25" s="20"/>
      <c r="F25" s="20"/>
      <c r="G25" s="20"/>
      <c r="H25" s="20"/>
      <c r="I25" s="20"/>
      <c r="J25" s="20"/>
      <c r="K25" s="20"/>
      <c r="L25" s="20"/>
      <c r="M25" s="20"/>
    </row>
    <row r="26" spans="4:16" ht="12.75">
      <c r="D26" s="30">
        <v>1</v>
      </c>
      <c r="E26" s="20">
        <f>AVERAGE('30 May00'!Y3:Y10)</f>
        <v>28.152331248436894</v>
      </c>
      <c r="F26" s="20">
        <f>STDEV('30 May00'!Y3:Y10)/SQRT(8)</f>
        <v>5.308045504662296</v>
      </c>
      <c r="G26" s="20">
        <f>AVERAGE('26June00'!Y3:Y10)</f>
        <v>19.813688759263968</v>
      </c>
      <c r="H26" s="20">
        <f>STDEV('26June00'!Y3:Y10)/SQRT(8)</f>
        <v>3.7849379866613035</v>
      </c>
      <c r="I26" s="20">
        <f>AVERAGE('24July00'!Y3:Y10)</f>
        <v>23.7105627509063</v>
      </c>
      <c r="J26" s="20">
        <f>STDEV('24July00'!Y3:Y10)/SQRT(8)</f>
        <v>4.168466010544822</v>
      </c>
      <c r="K26" s="20">
        <f>AVERAGE('14Sept00'!Z3:Z14)</f>
        <v>41.85464098325295</v>
      </c>
      <c r="L26" s="20">
        <f>STDEV('14Sept00'!Z3:Z14)/SQRT(12)</f>
        <v>8.225242097049177</v>
      </c>
      <c r="M26" s="20">
        <f>AVERAGE('29July01'!Z3:Z8)</f>
        <v>20.541421687056722</v>
      </c>
      <c r="N26" s="20">
        <f>STDEV('29July01'!Z3:Z8)/SQRT(12)</f>
        <v>2.665577732591842</v>
      </c>
      <c r="O26" s="20">
        <f>AVERAGE('10July02'!Z3:Z8)</f>
        <v>15.21967935421342</v>
      </c>
      <c r="P26" s="20">
        <f>STDEV('10July02'!Z3:Z8)/SQRT(6)</f>
        <v>4.206343352083543</v>
      </c>
    </row>
    <row r="27" spans="4:16" ht="12.75">
      <c r="D27" s="30">
        <v>2</v>
      </c>
      <c r="E27" s="20">
        <f>AVERAGE('30 May00'!Y11:Y18)</f>
        <v>20.023497214222413</v>
      </c>
      <c r="F27" s="20">
        <f>STDEV('30 May00'!Y11:Y18)/SQRT(8)</f>
        <v>3.502237705378728</v>
      </c>
      <c r="G27" s="20">
        <f>AVERAGE('26June00'!Y11:Y18)</f>
        <v>11.281930086727115</v>
      </c>
      <c r="H27" s="20">
        <f>STDEV('26June00'!Y11:Y18)/SQRT(8)</f>
        <v>2.330761952471134</v>
      </c>
      <c r="I27" s="20">
        <f>AVERAGE('24July00'!Y11:Y18)</f>
        <v>25.722522004471777</v>
      </c>
      <c r="J27" s="20">
        <f>STDEV('24July00'!Y11:Y18)/SQRT(8)</f>
        <v>3.368506499884362</v>
      </c>
      <c r="K27" s="20">
        <f>AVERAGE('14Sept00'!Z15:Z26)</f>
        <v>47.78434537427313</v>
      </c>
      <c r="L27" s="20">
        <f>STDEV('14Sept00'!Z15:Z26)/SQRT(12)</f>
        <v>7.485866532669727</v>
      </c>
      <c r="M27" s="20">
        <f>AVERAGE('29July01'!Z9:Z14)</f>
        <v>22.98820942573612</v>
      </c>
      <c r="N27" s="20">
        <f>STDEV('29July01'!Z9:Z14)/SQRT(12)</f>
        <v>2.245521486469124</v>
      </c>
      <c r="O27" s="20">
        <f>AVERAGE('10July02'!Z9:Z14)</f>
        <v>8.973878596628042</v>
      </c>
      <c r="P27" s="20">
        <f>STDEV('10July02'!Z9:Z14)/SQRT(6)</f>
        <v>2.6442371067175547</v>
      </c>
    </row>
    <row r="28" spans="4:16" ht="12.75">
      <c r="D28" s="30">
        <v>3</v>
      </c>
      <c r="E28" s="20">
        <f>AVERAGE('30 May00'!Y19:Y26)</f>
        <v>17.754524631499194</v>
      </c>
      <c r="F28" s="20">
        <f>STDEV('30 May00'!Y19:Y26)/SQRT(8)</f>
        <v>2.853273780029242</v>
      </c>
      <c r="G28" s="20">
        <f>AVERAGE('26June00'!Y20:Y27)</f>
        <v>13.456281171386046</v>
      </c>
      <c r="H28" s="20">
        <f>STDEV('26June00'!Y20:Y27)/SQRT(8)</f>
        <v>2.4510936066422486</v>
      </c>
      <c r="I28" s="20">
        <f>AVERAGE('24July00'!Y20:Y27)</f>
        <v>27.004847651115092</v>
      </c>
      <c r="J28" s="20">
        <f>STDEV('24July00'!Y20:Y27)/SQRT(8)</f>
        <v>4.214006345798338</v>
      </c>
      <c r="K28" s="20">
        <f>AVERAGE('14Sept00'!Z27:Z38)</f>
        <v>50.3254480592104</v>
      </c>
      <c r="L28" s="20">
        <f>STDEV('14Sept00'!Z27:Z38)/SQRT(12)</f>
        <v>6.420435080050141</v>
      </c>
      <c r="M28" s="20">
        <f>AVERAGE('29July01'!Z15:Z20)</f>
        <v>8.508117839803637</v>
      </c>
      <c r="N28" s="20">
        <f>STDEV('29July01'!Z15:Z20)/SQRT(12)</f>
        <v>2.355426341026164</v>
      </c>
      <c r="O28" s="20">
        <f>AVERAGE('10July02'!Z15:Z20)</f>
        <v>11.74718457595624</v>
      </c>
      <c r="P28" s="20">
        <f>STDEV('10July02'!Z15:Z20)/SQRT(6)</f>
        <v>2.7198678191058936</v>
      </c>
    </row>
    <row r="29" spans="4:16" ht="12.75">
      <c r="D29" s="30">
        <v>4</v>
      </c>
      <c r="E29" s="20">
        <f>AVERAGE('30 May00'!Y27:Y34)</f>
        <v>16.694586949249693</v>
      </c>
      <c r="F29" s="20">
        <f>STDEV('30 May00'!Y27:Y34)/SQRT(8)</f>
        <v>3.3097210409157714</v>
      </c>
      <c r="G29" s="20">
        <f>AVERAGE('26June00'!Y27:Y34)</f>
        <v>15.030446623799541</v>
      </c>
      <c r="H29" s="20">
        <f>STDEV('26June00'!Y27:Y34)/SQRT(8)</f>
        <v>2.146218042510926</v>
      </c>
      <c r="I29" s="20">
        <f>AVERAGE('24July00'!Y27:Y34)</f>
        <v>26.550518558869356</v>
      </c>
      <c r="J29" s="20">
        <f>STDEV('24July00'!Y27:Y34)/SQRT(8)</f>
        <v>2.1883029805637633</v>
      </c>
      <c r="K29" s="20">
        <f>AVERAGE('14Sept00'!Z39:Z50)</f>
        <v>36.034746810450535</v>
      </c>
      <c r="L29" s="20">
        <f>STDEV('14Sept00'!Z39:Z50)/SQRT(12)</f>
        <v>4.138401248416599</v>
      </c>
      <c r="M29" s="20">
        <f>AVERAGE('29July01'!Z21:Z26)</f>
        <v>10.050853009922713</v>
      </c>
      <c r="N29" s="20">
        <f>STDEV('29July01'!Z21:Z26)/SQRT(12)</f>
        <v>2.680248227033071</v>
      </c>
      <c r="O29" s="20">
        <f>AVERAGE('10July02'!Z21:Z26)</f>
        <v>13.570327527276163</v>
      </c>
      <c r="P29" s="20">
        <f>STDEV('10July02'!Z21:Z26)/SQRT(6)</f>
        <v>6.4551774023355435</v>
      </c>
    </row>
    <row r="30" spans="4:16" ht="12.75">
      <c r="D30" s="30">
        <v>5</v>
      </c>
      <c r="E30" s="20">
        <f>AVERAGE('30 May00'!Y35:Y42)</f>
        <v>19.32192622144614</v>
      </c>
      <c r="F30" s="20">
        <f>STDEV('30 May00'!Y27:Y34)/SQRT(8)</f>
        <v>3.3097210409157714</v>
      </c>
      <c r="G30" s="20">
        <f>AVERAGE('26June00'!Y35:Y42)</f>
        <v>27.464602084215457</v>
      </c>
      <c r="H30" s="20">
        <f>STDEV('26June00'!Y35:Y42)/SQRT(8)</f>
        <v>8.259528999070092</v>
      </c>
      <c r="I30" s="20">
        <f>AVERAGE('24July00'!Y35:Y42)</f>
        <v>28.863151273042273</v>
      </c>
      <c r="J30" s="20">
        <f>STDEV('24July00'!Y35:Y42)/SQRT(8)</f>
        <v>3.5251942066193003</v>
      </c>
      <c r="K30" s="20">
        <f>AVERAGE('14Sept00'!Z51:Z62)</f>
        <v>17.758331707273623</v>
      </c>
      <c r="L30" s="20">
        <f>STDEV('14Sept00'!Z51:Z62)/SQRT(12)</f>
        <v>4.577654882112684</v>
      </c>
      <c r="M30" s="20">
        <f>AVERAGE('29July01'!Z27:Z32)</f>
        <v>20.205510003570044</v>
      </c>
      <c r="N30" s="20">
        <f>STDEV('29July01'!Z27:Z32)/SQRT(12)</f>
        <v>3.996713797780459</v>
      </c>
      <c r="O30" s="20">
        <f>AVERAGE('10July02'!Z27:Z29,'10July02'!Z31:Z32)</f>
        <v>15.895446086788292</v>
      </c>
      <c r="P30" s="20">
        <f>STDEV('10July02'!Z27:Z29,'10July02'!Z31:Z32)/SQRT(5)</f>
        <v>6.890044033915623</v>
      </c>
    </row>
    <row r="31" spans="4:16" ht="12.75">
      <c r="D31" s="30"/>
      <c r="N31" s="23"/>
      <c r="O31" s="23"/>
      <c r="P31" s="23"/>
    </row>
    <row r="32" spans="3:16" ht="12.75">
      <c r="C32" t="s">
        <v>301</v>
      </c>
      <c r="D32" s="30" t="s">
        <v>9</v>
      </c>
      <c r="E32" s="20">
        <f>AVERAGE('30 May00'!AD3:AD4,'30 May00'!AD11:AD12,'30 May00'!AD19:AD20,'30 May00'!AD27:AD28,'30 May00'!AD35:AD36)</f>
        <v>41.74793797202436</v>
      </c>
      <c r="F32" s="20">
        <f>STDEV('30 May00'!AD3:AD4,'30 May00'!AD11:AD12,'30 May00'!AD19:AD20,'30 May00'!AD27:AD28,'30 May00'!AD35:AD36)/SQRT(10)</f>
        <v>5.760148522030998</v>
      </c>
      <c r="G32" s="20">
        <f>AVERAGE('26June00'!AD3:AD4,'26June00'!AD11:AD12,'26June00'!AD19:AD20,'26June00'!AD27:AD28,'26June00'!AD35:AD36)</f>
        <v>28.780553187095585</v>
      </c>
      <c r="H32" s="20">
        <f>STDEV('26June00'!AD3:AD4,'26June00'!AD11:AD12,'26June00'!AD19:AD20,'26June00'!AD27:AD28,'26June00'!AD35:AD36)/SQRT(10)</f>
        <v>5.182020822482749</v>
      </c>
      <c r="I32" s="20">
        <f>AVERAGE('24July00'!AD3:AD4,'24July00'!AD11:AD12,'24July00'!AD19:AD20,'24July00'!AD27:AD28,'24July00'!AD35:AD36)</f>
        <v>46.641515244083976</v>
      </c>
      <c r="J32" s="20">
        <f>STDEV('24July00'!AD3:AD4,'24July00'!AD11:AD12,'24July00'!AD19:AD20,'24July00'!AD27:AD28,'24July00'!AD35:AD36)/SQRT(10)</f>
        <v>4.875544445414906</v>
      </c>
      <c r="K32" s="20">
        <f>AVERAGE('14Sept00'!AE3:AE4,'14Sept00'!AE15:AE16,'14Sept00'!AE5,'14Sept00'!AE17,'14Sept00'!AE27:AE29,'14Sept00'!AE39:AE41,'14Sept00'!AE51:AE53)</f>
        <v>69.90718301382377</v>
      </c>
      <c r="L32" s="20">
        <f>STDEV('14Sept00'!AE3:AE4,'14Sept00'!AE15:AE16,'14Sept00'!AE5,'14Sept00'!AE17,'14Sept00'!AE27:AE29,'14Sept00'!AE39:AE41,'14Sept00'!AE51:AE53)/SQRT(15)</f>
        <v>13.60701672769911</v>
      </c>
      <c r="M32" s="20">
        <f>AVERAGE('29July01'!AE3:AE5,'29July01'!AE9:AE11,'29July01'!AE15:AE17,'29July01'!AE21:AE23,'29July01'!AE27:AE29)</f>
        <v>40.91116965788102</v>
      </c>
      <c r="N32" s="20">
        <f>STDEV('29July01'!AE3:AE5,'29July01'!AE9:AE11,'29July01'!AE15:AE17,'29July01'!AE21:AE23,'29July01'!AE27:AE29)/SQRT(15)</f>
        <v>6.789253806259803</v>
      </c>
      <c r="O32" s="20">
        <f>AVERAGE('10July02'!AE3:AE5,'10July02'!AE9:AE11,'10July02'!AE15:AE17,'10July02'!AE21:AE23,'10July02'!AE27:AE28)</f>
        <v>32.00756475229153</v>
      </c>
      <c r="P32" s="20">
        <f>STDEV('10July02'!AE3:AE5,'10July02'!AE9:AE11,'10July02'!AE15:AE17,'10July02'!AE21:AE23,'10July02'!AE27:AE28)/SQRT(14)</f>
        <v>5.515967557678503</v>
      </c>
    </row>
    <row r="33" spans="4:13" ht="12.75">
      <c r="D33" s="30" t="s">
        <v>10</v>
      </c>
      <c r="E33" s="20">
        <f>AVERAGE('30 May00'!AD5:AD6,'30 May00'!AD13:AD14,'30 May00'!AD21:AD22,'30 May00'!AD29:AD30,'30 May00'!AD37:AD38)</f>
        <v>33.64268837076744</v>
      </c>
      <c r="F33" s="20">
        <f>STDEV('30 May00'!AD5:AD6,'30 May00'!AD13:AD14,'30 May00'!AD21:AD22,'30 May00'!AD29:AD30,'30 May00'!AD37:AD38)/SQRT(10)</f>
        <v>4.366265491662579</v>
      </c>
      <c r="G33" s="20">
        <f>AVERAGE('26June00'!AD5:AD6,'26June00'!AD13:AD14,'26June00'!AD21:AD22,'26June00'!AD29:AD30,'26June00'!AD37:AD38)</f>
        <v>32.72182369658119</v>
      </c>
      <c r="H33" s="20">
        <f>STDEV('26June00'!AD5:AD6,'26June00'!AD13:AD14,'26June00'!AD21:AD22,'26June00'!AD29:AD30,'26June00'!AD37:AD38)/SQRT(10)</f>
        <v>5.559093693247064</v>
      </c>
      <c r="I33" s="20">
        <f>AVERAGE('24July00'!AD5:AD6,'24July00'!AD13:AD14,'24July00'!AD21:AD22,'24July00'!AD29:AD30,'24July00'!AD37:AD38)</f>
        <v>63.794681846365805</v>
      </c>
      <c r="J33" s="20">
        <f>STDEV('24July00'!AD5:AD6,'24July00'!AD13:AD14,'24July00'!AD21:AD22,'24July00'!AD29:AD30,'24July00'!AD37:AD38)/SQRT(10)</f>
        <v>7.893774354170403</v>
      </c>
      <c r="K33" s="20">
        <f>AVERAGE('14Sept00'!AE6:AE8,'14Sept00'!AE18:AE20,'14Sept00'!AE30:AE32,'14Sept00'!AE42:AE44,'14Sept00'!AE54:AE56)</f>
        <v>76.68870505643011</v>
      </c>
      <c r="L33" s="20">
        <f>STDEV('14Sept00'!AE6:AE8,'14Sept00'!AE18:AE20,'14Sept00'!AE30:AE32,'14Sept00'!AE42:AE44,'14Sept00'!AE54:AE56)/SQRT(15)</f>
        <v>9.481052130850756</v>
      </c>
      <c r="M33" s="20"/>
    </row>
    <row r="34" spans="4:16" ht="12.75">
      <c r="D34" s="30" t="s">
        <v>11</v>
      </c>
      <c r="E34" s="20">
        <f>AVERAGE('30 May00'!AD7:AD8,'30 May00'!AD15:AD16,'30 May00'!AD23:AD24,'30 May00'!AD31:AD32,'30 May00'!AD39:AD40)</f>
        <v>28.004254366720026</v>
      </c>
      <c r="F34" s="20">
        <f>STDEV('30 May00'!AD7:AD8,'30 May00'!AD15:AD16,'30 May00'!AD23:AD24,'30 May00'!AD31:AD32,'30 May00'!AD39:AD40)/SQRT(10)</f>
        <v>4.64705605158715</v>
      </c>
      <c r="G34" s="20">
        <f>AVERAGE('26June00'!AD7:AD8,'26June00'!AD15:AD16,'26June00'!AD23:AD24,'26June00'!AD31:AD32,'26June00'!AD39:AD40)</f>
        <v>28.645460830710142</v>
      </c>
      <c r="H34" s="20">
        <f>STDEV('26June00'!AD7:AD8,'26June00'!AD15:AD16,'26June00'!AD23:AD24,'26June00'!AD31:AD32,'26June00'!AD39:AD40)/SQRT(10)</f>
        <v>6.6586846336695755</v>
      </c>
      <c r="I34" s="20">
        <f>AVERAGE('24July00'!AD7:AD8,'24July00'!AD15,'24July00'!AD15:AD16,'24July00'!AD15,'24July00'!AD23:AD24,'24July00'!AD31:AD32,'24July00'!AD39:AD40)</f>
        <v>51.8798203406645</v>
      </c>
      <c r="J34" s="20">
        <f>STDEV('24July00'!AD7:AD8,'24July00'!AD15,'24July00'!AD15:AD16,'24July00'!AD15,'24July00'!AD23:AD24,'24July00'!AD31:AD32,'24July00'!AD39:AD40)/SQRT(10)</f>
        <v>6.3001832969158915</v>
      </c>
      <c r="K34" s="20">
        <f>AVERAGE('14Sept00'!AE9:AE11,'14Sept00'!AE21:AE23,'14Sept00'!AE33:AE35,'14Sept00'!AE45:AE47,'14Sept00'!AE57:AE59)</f>
        <v>56.58843038564467</v>
      </c>
      <c r="L34" s="20">
        <f>STDEV('14Sept00'!AE9:AE11,'14Sept00'!AE21:AE23,'14Sept00'!AE33:AE35,'14Sept00'!AE45:AE47,'14Sept00'!AE57:AE59)/SQRT(15)</f>
        <v>7.808355262443277</v>
      </c>
      <c r="M34" s="20">
        <f>AVERAGE('29July01'!AE6:AE8,'29July01'!AE12:AE14,'29July01'!AE18:AE20,'29July01'!AE24:AE26,'29July01'!AE30:AE32)</f>
        <v>45.54910176097917</v>
      </c>
      <c r="N34" s="20">
        <f>STDEV('29July01'!AE6:AE8,'29July01'!AE12:AE14,'29July01'!AE18:AE20,'29July01'!AE24:AE26,'29July01'!AE30:AE32)/SQRT(15)</f>
        <v>7.78609968345436</v>
      </c>
      <c r="O34" s="20">
        <f>AVERAGE('10July02'!AE6:AE8,'10July02'!AE12:AE14,'10July02'!AE18:AE20,'10July02'!AE24:AE26,'10July02'!AE31:AE32)</f>
        <v>24.56117715582268</v>
      </c>
      <c r="P34" s="20">
        <f>STDEV('10July02'!AE6:AE8,'10July02'!AE12:AE14,'10July02'!AE18:AE20,'10July02'!AE24:AE26,'10July02'!AE31:AE32)/SQRT(14)</f>
        <v>6.053760066491103</v>
      </c>
    </row>
    <row r="35" spans="4:13" ht="12.75">
      <c r="D35" s="30" t="s">
        <v>12</v>
      </c>
      <c r="E35" s="20">
        <f>AVERAGE('30 May00'!AD9:AD10,'30 May00'!AD17:AD18,'30 May00'!AD25:AD26,'30 May00'!AD33:AD34,'30 May00'!AD41:AD42)</f>
        <v>32.81340947060643</v>
      </c>
      <c r="F35" s="20">
        <f>STDEV('30 May00'!AD9:AD10,'30 May00'!AD17:AD18,'30 May00'!AD25:AD26,'30 May00'!AD33:AD34,'30 May00'!AD41:AD42)/SQRT(10)</f>
        <v>5.225354917056015</v>
      </c>
      <c r="G35" s="20">
        <f>AVERAGE('26June00'!AD9:AD10,'26June00'!AD17:AD18,'26June00'!AD25:AD26,'26June00'!AD33:AD34,'26June00'!AD41:AD42)</f>
        <v>33.916886011200674</v>
      </c>
      <c r="H35" s="20">
        <f>STDEV('26June00'!AD9:AD10,'26June00'!AD17:AD18,'26June00'!AD25:AD26,'26June00'!AD33:AD34,'26June00'!AD41:AD42)/SQRT(10)</f>
        <v>6.157458955431033</v>
      </c>
      <c r="I35" s="20">
        <f>AVERAGE('24July00'!AD9:AD10,'24July00'!AD17:AD18,'24July00'!AD25:AD26,'24July00'!AD33:AD34,'24July00'!AD41:AD42)</f>
        <v>49.03941523740165</v>
      </c>
      <c r="J35" s="20">
        <f>STDEV('24July00'!AD9:AD10,'24July00'!AD17:AD18,'24July00'!AD25:AD26,'24July00'!AD33:AD34,'24July00'!AD41:AD42)/SQRT(10)</f>
        <v>6.708602853640388</v>
      </c>
      <c r="K35" s="20">
        <f>AVERAGE('14Sept00'!AE12:AE14,'14Sept00'!AE24:AE26,'14Sept00'!AE36:AE38,'14Sept00'!AE48:AE50,'14Sept00'!AE60:AE62)</f>
        <v>58.36312699584814</v>
      </c>
      <c r="L35" s="20">
        <f>STDEV('14Sept00'!AE12:AE14,'14Sept00'!AE24:AE26,'14Sept00'!AE36:AE38,'14Sept00'!AE48:AE50,'14Sept00'!AE60:AE62)/SQRT(15)</f>
        <v>8.766615897313024</v>
      </c>
      <c r="M35" s="20"/>
    </row>
    <row r="36" spans="4:13" ht="12.75">
      <c r="D36" s="30"/>
      <c r="E36" s="20"/>
      <c r="F36" s="20"/>
      <c r="G36" s="20"/>
      <c r="H36" s="20"/>
      <c r="I36" s="20"/>
      <c r="J36" s="20"/>
      <c r="K36" s="20"/>
      <c r="L36" s="20"/>
      <c r="M36" s="20"/>
    </row>
    <row r="37" spans="4:16" ht="12.75">
      <c r="D37" s="30">
        <v>1</v>
      </c>
      <c r="E37" s="20">
        <f>AVERAGE('30 May00'!AD3:AD10)</f>
        <v>46.388939013664924</v>
      </c>
      <c r="F37" s="20">
        <f>STDEV('30 May00'!AD3:AD10)/SQRT(8)</f>
        <v>6.363821638824228</v>
      </c>
      <c r="G37" s="20">
        <f>AVERAGE('26June00'!AD3:AD10)</f>
        <v>41.726420554019576</v>
      </c>
      <c r="H37" s="20">
        <f>STDEV('26June00'!AD3:AD10)/SQRT(8)</f>
        <v>5.479844869356476</v>
      </c>
      <c r="I37" s="20">
        <f>AVERAGE('24July00'!AD3:AD10)</f>
        <v>55.670735438377434</v>
      </c>
      <c r="J37" s="20">
        <f>STDEV('24July00'!AD3:AD10)/SQRT(8)</f>
        <v>10.382556368346313</v>
      </c>
      <c r="K37" s="20">
        <f>AVERAGE('14Sept00'!AE3:AE14)</f>
        <v>76.75493932939936</v>
      </c>
      <c r="L37" s="20">
        <f>STDEV('14Sept00'!AE3:AE14)/SQRT(12)</f>
        <v>15.889883155444302</v>
      </c>
      <c r="M37" s="20">
        <f>AVERAGE('29July01'!AE3:AE8)</f>
        <v>62.636669004934866</v>
      </c>
      <c r="N37" s="20">
        <f>STDEV('29July01'!AE3:AE8)/SQRT(12)</f>
        <v>6.325576622799042</v>
      </c>
      <c r="O37" s="20">
        <f>AVERAGE('10July02'!AE3:AE8)</f>
        <v>34.62210912573742</v>
      </c>
      <c r="P37" s="20">
        <f>STDEV('10July02'!AE3:AE8)/SQRT(6)</f>
        <v>10.063742269978073</v>
      </c>
    </row>
    <row r="38" spans="4:16" ht="12.75">
      <c r="D38" s="30">
        <v>2</v>
      </c>
      <c r="E38" s="20">
        <f>AVERAGE('30 May00'!AD11:AD18)</f>
        <v>30.753129728829318</v>
      </c>
      <c r="F38" s="20">
        <f>STDEV('30 May00'!AD11:AD18)/SQRT(8)</f>
        <v>4.934621106762172</v>
      </c>
      <c r="G38" s="20">
        <f>AVERAGE('26June00'!AD11:AD18)</f>
        <v>19.518240400794163</v>
      </c>
      <c r="H38" s="20">
        <f>STDEV('26June00'!AD11:AD18)</f>
        <v>10.468804290570263</v>
      </c>
      <c r="I38" s="20">
        <f>AVERAGE('24July00'!AD11:AD18)</f>
        <v>46.87400489672025</v>
      </c>
      <c r="J38" s="20">
        <f>STDEV('24July00'!AD11:AD18)/SQRT(8)</f>
        <v>3.296252260238029</v>
      </c>
      <c r="K38" s="20">
        <f>AVERAGE('14Sept00'!AE15:AE26)</f>
        <v>67.65321848192919</v>
      </c>
      <c r="L38" s="20">
        <f>STDEV('14Sept00'!AE15:AE26)/SQRT(12)</f>
        <v>7.635479061025896</v>
      </c>
      <c r="M38" s="20">
        <f>AVERAGE('29July01'!AE9:AE14)</f>
        <v>51.02225468030528</v>
      </c>
      <c r="N38" s="20">
        <f>STDEV('29July01'!AE9:AE14)/SQRT(12)</f>
        <v>2.721095051963325</v>
      </c>
      <c r="O38" s="20">
        <f>AVERAGE('10July02'!AE9:AE14)</f>
        <v>27.15472603154913</v>
      </c>
      <c r="P38" s="20">
        <f>STDEV('10July02'!AE9:AE14)/SQRT(6)</f>
        <v>8.825352769154053</v>
      </c>
    </row>
    <row r="39" spans="4:16" ht="12.75">
      <c r="D39" s="30">
        <v>3</v>
      </c>
      <c r="E39" s="20">
        <f>AVERAGE('30 May00'!AD19:AD26)</f>
        <v>34.451353359328834</v>
      </c>
      <c r="F39" s="20">
        <f>STDEV('30 May00'!AD19:AD26)/SQRT(8)</f>
        <v>4.581872381022959</v>
      </c>
      <c r="G39" s="20">
        <f>AVERAGE('26June00'!AD19:AD26)</f>
        <v>25.146375972109972</v>
      </c>
      <c r="H39" s="20">
        <f>STDEV('26June00'!AD19:AD26)/SQRT(8)</f>
        <v>4.7529837393808965</v>
      </c>
      <c r="I39" s="20">
        <f>AVERAGE('24July00'!AD19:AD26)</f>
        <v>56.35199622892742</v>
      </c>
      <c r="J39" s="20">
        <f>STDEV('24July00'!AD19:AD26)/SQRT(8)</f>
        <v>4.730795656874129</v>
      </c>
      <c r="K39" s="20">
        <f>AVERAGE('14Sept00'!AE27:AE38)</f>
        <v>84.33445697304535</v>
      </c>
      <c r="L39" s="20">
        <f>STDEV('14Sept00'!AE27:AE38)/SQRT(12)</f>
        <v>9.927061020068228</v>
      </c>
      <c r="M39" s="20">
        <f>AVERAGE('29July01'!AE15:AE20)</f>
        <v>30.11851293149323</v>
      </c>
      <c r="N39" s="20">
        <f>STDEV('29July01'!AE15:AE20)/SQRT(12)</f>
        <v>4.860265269938841</v>
      </c>
      <c r="O39" s="20">
        <f>AVERAGE('10July02'!AE15:AE20)</f>
        <v>34.6214323750906</v>
      </c>
      <c r="P39" s="20">
        <f>STDEV('10July02'!AE15:AE20)/SQRT(6)</f>
        <v>8.578997700291753</v>
      </c>
    </row>
    <row r="40" spans="4:16" ht="12.75">
      <c r="D40" s="30">
        <v>4</v>
      </c>
      <c r="E40" s="20">
        <f>AVERAGE('30 May00'!AD27:AD34)</f>
        <v>30.355549766837584</v>
      </c>
      <c r="F40" s="20">
        <f>STDEV('30 May00'!AD27:AD34)/SQRT(8)</f>
        <v>4.571903838379787</v>
      </c>
      <c r="G40" s="20">
        <f>AVERAGE('26June00'!AD27:AD34)</f>
        <v>32.80267459088283</v>
      </c>
      <c r="H40" s="20">
        <f>STDEV('26June00'!AD27:AD34)/SQRT(8)</f>
        <v>4.726038413077555</v>
      </c>
      <c r="I40" s="20">
        <f>AVERAGE('24July00'!AD27:AD34)</f>
        <v>57.714932721683184</v>
      </c>
      <c r="J40" s="20">
        <f>STDEV('24July00'!AD27:AD34)/SQRT(8)</f>
        <v>9.983255109700703</v>
      </c>
      <c r="K40" s="20">
        <f>AVERAGE('14Sept00'!AE39:AE50)</f>
        <v>63.867528378230226</v>
      </c>
      <c r="L40" s="20">
        <f>STDEV('14Sept00'!AE39:AE50)/SQRT(12)</f>
        <v>6.510813773188602</v>
      </c>
      <c r="M40" s="20">
        <f>AVERAGE('29July01'!AE21:AE26)</f>
        <v>44.857730379398156</v>
      </c>
      <c r="N40" s="20">
        <f>STDEV('29July01'!AE21:AE26)/SQRT(12)</f>
        <v>13.797855151846708</v>
      </c>
      <c r="O40" s="20">
        <f>AVERAGE('10July02'!AE21:AE26)</f>
        <v>25.56910996813723</v>
      </c>
      <c r="P40" s="20">
        <f>STDEV('10July02'!AE21:AE26)/SQRT(6)</f>
        <v>10.867365248170758</v>
      </c>
    </row>
    <row r="41" spans="4:16" ht="12.75">
      <c r="D41" s="30">
        <v>5</v>
      </c>
      <c r="E41" s="20">
        <f>AVERAGE('30 May00'!AD35:AD42)</f>
        <v>28.311390856487165</v>
      </c>
      <c r="F41" s="20">
        <f>STDEV('30 May00'!AD35:AD42)/SQRT(8)</f>
        <v>6.575574874361638</v>
      </c>
      <c r="G41" s="20">
        <f>AVERAGE('26June00'!AD35:AD42)</f>
        <v>35.88719313917794</v>
      </c>
      <c r="H41" s="20">
        <f>STDEV('26June00'!AD35:AD42)/SQRT(8)</f>
        <v>9.810089061691627</v>
      </c>
      <c r="I41" s="20">
        <f>AVERAGE('24July00'!AD35:AD42)</f>
        <v>49.6666700468319</v>
      </c>
      <c r="J41" s="20">
        <f>STDEV('24July00'!AD35:AD42)/SQRT(8)</f>
        <v>7.943004435116371</v>
      </c>
      <c r="K41" s="20">
        <f>AVERAGE('14Sept00'!AE51:AE62)</f>
        <v>34.32416365207927</v>
      </c>
      <c r="L41" s="20">
        <f>STDEV('14Sept00'!AE51:AE62)/SQRT(12)</f>
        <v>10.176670287342851</v>
      </c>
      <c r="M41" s="20">
        <f>AVERAGE('29July01'!AE27:AE32)</f>
        <v>27.515511551018992</v>
      </c>
      <c r="N41" s="20">
        <f>STDEV('29July01'!AE27:AE32)/SQRT(12)</f>
        <v>5.375385084436336</v>
      </c>
      <c r="O41" s="20">
        <f>AVERAGE('10July02'!AE27:AE29,'10July02'!AE31:AE32)</f>
        <v>20.13484843656983</v>
      </c>
      <c r="P41" s="20">
        <f>STDEV('10July02'!AE27:AE29,'10July02'!AE31:AE32)/SQRT(5)</f>
        <v>6.137396147739954</v>
      </c>
    </row>
    <row r="42" spans="4:16" ht="12.75">
      <c r="D42" s="30"/>
      <c r="G42" s="23"/>
      <c r="H42" s="23"/>
      <c r="I42" s="23"/>
      <c r="J42" s="23"/>
      <c r="N42" s="23"/>
      <c r="O42" s="23"/>
      <c r="P42" s="23"/>
    </row>
    <row r="43" spans="7:10" ht="12.75">
      <c r="G43" s="23"/>
      <c r="H43" s="23"/>
      <c r="I43" s="23"/>
      <c r="J43" s="23"/>
    </row>
    <row r="44" spans="7:10" ht="12.75">
      <c r="G44" s="23"/>
      <c r="H44" s="23"/>
      <c r="I44" s="23"/>
      <c r="J44" s="23"/>
    </row>
    <row r="45" spans="7:8" ht="12.75">
      <c r="G45" s="23"/>
      <c r="H45" s="23"/>
    </row>
    <row r="46" spans="7:8" ht="12.75">
      <c r="G46" s="23"/>
      <c r="H46" s="2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A1">
      <pane xSplit="3" ySplit="2" topLeftCell="H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I17" sqref="I17"/>
    </sheetView>
  </sheetViews>
  <sheetFormatPr defaultColWidth="9.140625" defaultRowHeight="12.75"/>
  <cols>
    <col min="1" max="2" width="9.140625" style="1" customWidth="1"/>
    <col min="3" max="3" width="5.140625" style="1" customWidth="1"/>
    <col min="4" max="7" width="9.140625" style="1" customWidth="1"/>
    <col min="8" max="8" width="20.8515625" style="2" customWidth="1"/>
    <col min="9" max="9" width="10.7109375" style="1" customWidth="1"/>
    <col min="10" max="10" width="12.8515625" style="1" customWidth="1"/>
    <col min="11" max="11" width="10.8515625" style="1" customWidth="1"/>
    <col min="12" max="15" width="9.140625" style="1" customWidth="1"/>
    <col min="16" max="20" width="9.140625" style="21" customWidth="1"/>
    <col min="21" max="30" width="9.140625" style="24" customWidth="1"/>
    <col min="31" max="16384" width="9.140625" style="1" customWidth="1"/>
  </cols>
  <sheetData>
    <row r="1" spans="1:31" ht="12.75">
      <c r="A1" s="52" t="s">
        <v>192</v>
      </c>
      <c r="B1" s="52"/>
      <c r="C1" s="52"/>
      <c r="D1" s="52"/>
      <c r="E1" s="52"/>
      <c r="F1" s="52"/>
      <c r="G1" s="52"/>
      <c r="H1" s="52"/>
      <c r="I1" s="53" t="s">
        <v>115</v>
      </c>
      <c r="J1" s="53" t="s">
        <v>116</v>
      </c>
      <c r="K1" s="53" t="s">
        <v>117</v>
      </c>
      <c r="M1" s="13" t="s">
        <v>187</v>
      </c>
      <c r="N1" s="13" t="s">
        <v>185</v>
      </c>
      <c r="O1" s="13" t="s">
        <v>188</v>
      </c>
      <c r="P1" s="19"/>
      <c r="Q1" s="19"/>
      <c r="R1" s="19"/>
      <c r="S1" s="19"/>
      <c r="T1" s="19"/>
      <c r="U1" s="22"/>
      <c r="V1" s="22"/>
      <c r="W1" s="22"/>
      <c r="X1" s="22"/>
      <c r="Y1" s="22"/>
      <c r="Z1" s="22"/>
      <c r="AA1" s="22"/>
      <c r="AB1" s="22"/>
      <c r="AC1" s="23"/>
      <c r="AD1" s="23"/>
      <c r="AE1" t="s">
        <v>190</v>
      </c>
    </row>
    <row r="2" spans="1:3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3"/>
      <c r="J2" s="53"/>
      <c r="K2" s="53"/>
      <c r="L2" s="1" t="s">
        <v>123</v>
      </c>
      <c r="M2" s="14" t="s">
        <v>184</v>
      </c>
      <c r="N2" s="14" t="s">
        <v>186</v>
      </c>
      <c r="O2" t="s">
        <v>189</v>
      </c>
      <c r="P2" s="20" t="s">
        <v>248</v>
      </c>
      <c r="Q2" s="20" t="s">
        <v>249</v>
      </c>
      <c r="R2" s="20" t="s">
        <v>250</v>
      </c>
      <c r="S2" s="20" t="s">
        <v>251</v>
      </c>
      <c r="T2" s="20" t="s">
        <v>252</v>
      </c>
      <c r="U2" s="23" t="s">
        <v>253</v>
      </c>
      <c r="V2" s="23" t="s">
        <v>254</v>
      </c>
      <c r="W2" s="23" t="s">
        <v>255</v>
      </c>
      <c r="X2" s="23" t="s">
        <v>256</v>
      </c>
      <c r="Y2" s="23" t="s">
        <v>257</v>
      </c>
      <c r="Z2" s="23" t="s">
        <v>258</v>
      </c>
      <c r="AA2" s="23" t="s">
        <v>259</v>
      </c>
      <c r="AB2" s="23" t="s">
        <v>260</v>
      </c>
      <c r="AC2" s="23" t="s">
        <v>261</v>
      </c>
      <c r="AD2" s="23" t="s">
        <v>262</v>
      </c>
      <c r="AE2"/>
    </row>
    <row r="3" spans="1:30" ht="12.75">
      <c r="A3" s="1">
        <v>1</v>
      </c>
      <c r="B3" s="1" t="s">
        <v>9</v>
      </c>
      <c r="C3" s="1">
        <v>1</v>
      </c>
      <c r="D3" s="1">
        <v>257</v>
      </c>
      <c r="E3" s="1">
        <v>120</v>
      </c>
      <c r="F3" s="1">
        <v>26</v>
      </c>
      <c r="G3" s="1">
        <v>26</v>
      </c>
      <c r="H3" s="5" t="s">
        <v>92</v>
      </c>
      <c r="I3" s="1">
        <v>7.8123</v>
      </c>
      <c r="J3" s="1">
        <v>9.3235</v>
      </c>
      <c r="K3" s="1">
        <v>8.3737</v>
      </c>
      <c r="L3" s="1">
        <f aca="true" t="shared" si="0" ref="L3:L11">100-(100*(K3-I3)/(J3-I3))</f>
        <v>62.850714663843306</v>
      </c>
      <c r="N3" s="1">
        <v>7.45</v>
      </c>
      <c r="O3" s="1">
        <f>N3+(J3-I3)</f>
        <v>8.9612</v>
      </c>
      <c r="P3" s="21">
        <f>D3/((0.025*0.025)*3.14)</f>
        <v>130955.41401273884</v>
      </c>
      <c r="Q3" s="21">
        <f>E3/((0.025*0.025)*3.14)</f>
        <v>61146.49681528661</v>
      </c>
      <c r="R3" s="21">
        <f>F3/((0.025*0.025)*3.14)</f>
        <v>13248.4076433121</v>
      </c>
      <c r="S3" s="21">
        <f>G3/((0.025*0.025)*3.14)</f>
        <v>13248.4076433121</v>
      </c>
      <c r="T3" s="21">
        <f>SUM(P3:S3)</f>
        <v>218598.72611464965</v>
      </c>
      <c r="U3" s="24">
        <f>D3/$O3</f>
        <v>28.679194750703033</v>
      </c>
      <c r="V3" s="24">
        <f>E3/$O3</f>
        <v>13.391063696826318</v>
      </c>
      <c r="W3" s="24">
        <f>F3/$O3</f>
        <v>2.901397134312369</v>
      </c>
      <c r="X3" s="24">
        <f>G3/$O3</f>
        <v>2.901397134312369</v>
      </c>
      <c r="Y3" s="24">
        <f>SUM(U3:X3)</f>
        <v>47.87305271615409</v>
      </c>
      <c r="Z3" s="24">
        <f>D3/($O3*($L3/100))</f>
        <v>45.630658146201746</v>
      </c>
      <c r="AA3" s="24">
        <f>E3/($O3*($L3/100))</f>
        <v>21.30614388149498</v>
      </c>
      <c r="AB3" s="24">
        <f>F3/($O3*($L3/100))</f>
        <v>4.6163311743239115</v>
      </c>
      <c r="AC3" s="24">
        <f>G3/($O3*($L3/100))</f>
        <v>4.6163311743239115</v>
      </c>
      <c r="AD3" s="24">
        <f>SUM(Z3:AC3)</f>
        <v>76.16946437634456</v>
      </c>
    </row>
    <row r="4" spans="1:30" ht="12.75">
      <c r="A4" s="1">
        <v>1</v>
      </c>
      <c r="B4" s="1" t="s">
        <v>9</v>
      </c>
      <c r="C4" s="1">
        <v>2</v>
      </c>
      <c r="D4" s="1">
        <v>63</v>
      </c>
      <c r="E4" s="1">
        <v>182</v>
      </c>
      <c r="F4" s="1">
        <v>10</v>
      </c>
      <c r="G4" s="1">
        <v>44</v>
      </c>
      <c r="H4" s="2" t="s">
        <v>78</v>
      </c>
      <c r="I4" s="1">
        <v>8.5077</v>
      </c>
      <c r="J4" s="1">
        <v>9.8722</v>
      </c>
      <c r="K4" s="1">
        <v>8.9385</v>
      </c>
      <c r="L4" s="1">
        <f t="shared" si="0"/>
        <v>68.42799560278492</v>
      </c>
      <c r="N4" s="1">
        <v>6.45</v>
      </c>
      <c r="O4" s="1">
        <f aca="true" t="shared" si="1" ref="O4:O42">N4+(J4-I4)</f>
        <v>7.8145</v>
      </c>
      <c r="P4" s="21">
        <f aca="true" t="shared" si="2" ref="P4:P42">D4/((0.025*0.025)*3.14)</f>
        <v>32101.910828025473</v>
      </c>
      <c r="Q4" s="21">
        <f aca="true" t="shared" si="3" ref="Q4:Q42">E4/((0.025*0.025)*3.14)</f>
        <v>92738.8535031847</v>
      </c>
      <c r="R4" s="21">
        <f aca="true" t="shared" si="4" ref="R4:R42">F4/((0.025*0.025)*3.14)</f>
        <v>5095.541401273885</v>
      </c>
      <c r="S4" s="21">
        <f aca="true" t="shared" si="5" ref="S4:S42">G4/((0.025*0.025)*3.14)</f>
        <v>22420.382165605093</v>
      </c>
      <c r="T4" s="21">
        <f aca="true" t="shared" si="6" ref="T4:T42">SUM(P4:S4)</f>
        <v>152356.68789808915</v>
      </c>
      <c r="U4" s="24">
        <f aca="true" t="shared" si="7" ref="U4:U42">D4/$O4</f>
        <v>8.061936144347047</v>
      </c>
      <c r="V4" s="24">
        <f aca="true" t="shared" si="8" ref="V4:V42">E4/$O4</f>
        <v>23.290037750335916</v>
      </c>
      <c r="W4" s="24">
        <f aca="true" t="shared" si="9" ref="W4:W42">F4/$O4</f>
        <v>1.2796724038646108</v>
      </c>
      <c r="X4" s="24">
        <f aca="true" t="shared" si="10" ref="X4:X42">G4/$O4</f>
        <v>5.630558577004287</v>
      </c>
      <c r="Y4" s="24">
        <f aca="true" t="shared" si="11" ref="Y4:Y42">SUM(U4:X4)</f>
        <v>38.26220487555186</v>
      </c>
      <c r="Z4" s="24">
        <f aca="true" t="shared" si="12" ref="Z4:Z42">D4/($O4*($L4/100))</f>
        <v>11.781634217587602</v>
      </c>
      <c r="AA4" s="24">
        <f aca="true" t="shared" si="13" ref="AA4:AA42">E4/($O4*($L4/100))</f>
        <v>34.03583218414196</v>
      </c>
      <c r="AB4" s="24">
        <f aca="true" t="shared" si="14" ref="AB4:AB42">F4/($O4*($L4/100))</f>
        <v>1.8701006694583495</v>
      </c>
      <c r="AC4" s="24">
        <f aca="true" t="shared" si="15" ref="AC4:AC42">G4/($O4*($L4/100))</f>
        <v>8.228442945616738</v>
      </c>
      <c r="AD4" s="24">
        <f aca="true" t="shared" si="16" ref="AD4:AD42">SUM(Z4:AC4)</f>
        <v>55.91601001680465</v>
      </c>
    </row>
    <row r="5" spans="1:31" ht="12.75">
      <c r="A5" s="1">
        <v>1</v>
      </c>
      <c r="B5" s="1" t="s">
        <v>10</v>
      </c>
      <c r="C5" s="1">
        <v>1</v>
      </c>
      <c r="D5" s="1">
        <v>72</v>
      </c>
      <c r="E5" s="1">
        <v>105</v>
      </c>
      <c r="F5" s="1">
        <v>12</v>
      </c>
      <c r="G5" s="1">
        <v>18</v>
      </c>
      <c r="H5" s="2" t="s">
        <v>93</v>
      </c>
      <c r="I5" s="1">
        <v>8.0762</v>
      </c>
      <c r="J5" s="1">
        <v>9.8082</v>
      </c>
      <c r="K5" s="1">
        <v>8.9489</v>
      </c>
      <c r="L5" s="1">
        <f t="shared" si="0"/>
        <v>49.61316397228635</v>
      </c>
      <c r="N5" s="1">
        <v>9.81</v>
      </c>
      <c r="O5" s="1">
        <f t="shared" si="1"/>
        <v>11.542</v>
      </c>
      <c r="P5" s="21">
        <f t="shared" si="2"/>
        <v>36687.89808917197</v>
      </c>
      <c r="Q5" s="21">
        <f t="shared" si="3"/>
        <v>53503.18471337579</v>
      </c>
      <c r="R5" s="21">
        <f t="shared" si="4"/>
        <v>6114.649681528662</v>
      </c>
      <c r="S5" s="21">
        <f t="shared" si="5"/>
        <v>9171.974522292992</v>
      </c>
      <c r="T5" s="21">
        <f t="shared" si="6"/>
        <v>105477.70700636941</v>
      </c>
      <c r="U5" s="24">
        <f t="shared" si="7"/>
        <v>6.238086986657425</v>
      </c>
      <c r="V5" s="24">
        <f t="shared" si="8"/>
        <v>9.097210188875412</v>
      </c>
      <c r="W5" s="24">
        <f t="shared" si="9"/>
        <v>1.0396811644429043</v>
      </c>
      <c r="X5" s="24">
        <f t="shared" si="10"/>
        <v>1.5595217466643563</v>
      </c>
      <c r="Y5" s="24">
        <f t="shared" si="11"/>
        <v>17.934500086640096</v>
      </c>
      <c r="Z5" s="24">
        <f t="shared" si="12"/>
        <v>12.573451252054772</v>
      </c>
      <c r="AA5" s="24">
        <f t="shared" si="13"/>
        <v>18.336283075913208</v>
      </c>
      <c r="AB5" s="24">
        <f t="shared" si="14"/>
        <v>2.095575208675795</v>
      </c>
      <c r="AC5" s="24">
        <f t="shared" si="15"/>
        <v>3.143362813013693</v>
      </c>
      <c r="AD5" s="24">
        <f t="shared" si="16"/>
        <v>36.148672349657474</v>
      </c>
      <c r="AE5" s="12" t="s">
        <v>191</v>
      </c>
    </row>
    <row r="6" spans="1:30" ht="12.75">
      <c r="A6" s="1">
        <v>1</v>
      </c>
      <c r="B6" s="1" t="s">
        <v>10</v>
      </c>
      <c r="C6" s="1">
        <v>2</v>
      </c>
      <c r="D6" s="1">
        <v>31</v>
      </c>
      <c r="E6" s="1">
        <v>108</v>
      </c>
      <c r="F6" s="1">
        <v>14</v>
      </c>
      <c r="G6" s="1">
        <v>12</v>
      </c>
      <c r="H6" s="2" t="s">
        <v>79</v>
      </c>
      <c r="I6" s="1">
        <v>8.4281</v>
      </c>
      <c r="J6" s="1">
        <v>10.442</v>
      </c>
      <c r="K6" s="1">
        <v>9.7365</v>
      </c>
      <c r="L6" s="1">
        <f t="shared" si="0"/>
        <v>35.031530860519425</v>
      </c>
      <c r="N6" s="1">
        <v>14.09</v>
      </c>
      <c r="O6" s="1">
        <f t="shared" si="1"/>
        <v>16.1039</v>
      </c>
      <c r="P6" s="21">
        <f t="shared" si="2"/>
        <v>15796.178343949043</v>
      </c>
      <c r="Q6" s="21">
        <f t="shared" si="3"/>
        <v>55031.847133757954</v>
      </c>
      <c r="R6" s="21">
        <f t="shared" si="4"/>
        <v>7133.757961783438</v>
      </c>
      <c r="S6" s="21">
        <f t="shared" si="5"/>
        <v>6114.649681528662</v>
      </c>
      <c r="T6" s="21">
        <f t="shared" si="6"/>
        <v>84076.4331210191</v>
      </c>
      <c r="U6" s="24">
        <f t="shared" si="7"/>
        <v>1.9249995342743063</v>
      </c>
      <c r="V6" s="24">
        <f t="shared" si="8"/>
        <v>6.706449990375003</v>
      </c>
      <c r="W6" s="24">
        <f t="shared" si="9"/>
        <v>0.8693546283819448</v>
      </c>
      <c r="X6" s="24">
        <f t="shared" si="10"/>
        <v>0.745161110041667</v>
      </c>
      <c r="Y6" s="24">
        <f t="shared" si="11"/>
        <v>10.245965263072922</v>
      </c>
      <c r="Z6" s="24">
        <f t="shared" si="12"/>
        <v>5.4950482807583585</v>
      </c>
      <c r="AA6" s="24">
        <f t="shared" si="13"/>
        <v>19.144039171674283</v>
      </c>
      <c r="AB6" s="24">
        <f t="shared" si="14"/>
        <v>2.481634707439259</v>
      </c>
      <c r="AC6" s="24">
        <f t="shared" si="15"/>
        <v>2.1271154635193645</v>
      </c>
      <c r="AD6" s="24">
        <f t="shared" si="16"/>
        <v>29.247837623391263</v>
      </c>
    </row>
    <row r="7" spans="1:30" ht="12.75">
      <c r="A7" s="1">
        <v>1</v>
      </c>
      <c r="B7" s="1" t="s">
        <v>11</v>
      </c>
      <c r="C7" s="1">
        <v>1</v>
      </c>
      <c r="D7" s="1">
        <v>63</v>
      </c>
      <c r="E7" s="1">
        <v>135</v>
      </c>
      <c r="F7" s="1">
        <v>7</v>
      </c>
      <c r="G7" s="1">
        <v>18</v>
      </c>
      <c r="H7" s="2" t="s">
        <v>94</v>
      </c>
      <c r="I7" s="1">
        <v>8.3351</v>
      </c>
      <c r="J7" s="1">
        <v>9.3817</v>
      </c>
      <c r="K7" s="1">
        <v>8.6122</v>
      </c>
      <c r="L7" s="1">
        <f t="shared" si="0"/>
        <v>73.52379132428825</v>
      </c>
      <c r="N7" s="1">
        <v>9</v>
      </c>
      <c r="O7" s="1">
        <f t="shared" si="1"/>
        <v>10.0466</v>
      </c>
      <c r="P7" s="21">
        <f t="shared" si="2"/>
        <v>32101.910828025473</v>
      </c>
      <c r="Q7" s="21">
        <f t="shared" si="3"/>
        <v>68789.80891719744</v>
      </c>
      <c r="R7" s="21">
        <f t="shared" si="4"/>
        <v>3566.878980891719</v>
      </c>
      <c r="S7" s="21">
        <f t="shared" si="5"/>
        <v>9171.974522292992</v>
      </c>
      <c r="T7" s="21">
        <f t="shared" si="6"/>
        <v>113630.57324840763</v>
      </c>
      <c r="U7" s="24">
        <f t="shared" si="7"/>
        <v>6.270778173710509</v>
      </c>
      <c r="V7" s="24">
        <f t="shared" si="8"/>
        <v>13.437381800808234</v>
      </c>
      <c r="W7" s="24">
        <f t="shared" si="9"/>
        <v>0.6967531304122788</v>
      </c>
      <c r="X7" s="24">
        <f t="shared" si="10"/>
        <v>1.7916509067744313</v>
      </c>
      <c r="Y7" s="24">
        <f t="shared" si="11"/>
        <v>22.196564011705455</v>
      </c>
      <c r="Z7" s="24">
        <f t="shared" si="12"/>
        <v>8.528910248999884</v>
      </c>
      <c r="AA7" s="24">
        <f t="shared" si="13"/>
        <v>18.276236247856897</v>
      </c>
      <c r="AB7" s="24">
        <f t="shared" si="14"/>
        <v>0.9476566943333204</v>
      </c>
      <c r="AC7" s="24">
        <f t="shared" si="15"/>
        <v>2.436831499714253</v>
      </c>
      <c r="AD7" s="24">
        <f t="shared" si="16"/>
        <v>30.189634690904352</v>
      </c>
    </row>
    <row r="8" spans="1:30" ht="12.75">
      <c r="A8" s="1">
        <v>1</v>
      </c>
      <c r="B8" s="1" t="s">
        <v>11</v>
      </c>
      <c r="C8" s="1">
        <v>2</v>
      </c>
      <c r="D8" s="1">
        <v>50</v>
      </c>
      <c r="E8" s="1">
        <v>121</v>
      </c>
      <c r="F8" s="1">
        <v>27</v>
      </c>
      <c r="G8" s="1">
        <v>11</v>
      </c>
      <c r="H8" s="2" t="s">
        <v>80</v>
      </c>
      <c r="I8" s="1">
        <v>7.9267</v>
      </c>
      <c r="J8" s="1">
        <v>9.6643</v>
      </c>
      <c r="K8" s="1">
        <v>8.9086</v>
      </c>
      <c r="L8" s="1">
        <f t="shared" si="0"/>
        <v>43.491022099447555</v>
      </c>
      <c r="N8" s="1">
        <v>12.14</v>
      </c>
      <c r="O8" s="1">
        <f t="shared" si="1"/>
        <v>13.877600000000001</v>
      </c>
      <c r="P8" s="21">
        <f t="shared" si="2"/>
        <v>25477.707006369423</v>
      </c>
      <c r="Q8" s="21">
        <f t="shared" si="3"/>
        <v>61656.050955414</v>
      </c>
      <c r="R8" s="21">
        <f t="shared" si="4"/>
        <v>13757.961783439488</v>
      </c>
      <c r="S8" s="21">
        <f t="shared" si="5"/>
        <v>5605.095541401273</v>
      </c>
      <c r="T8" s="21">
        <f t="shared" si="6"/>
        <v>106496.81528662419</v>
      </c>
      <c r="U8" s="24">
        <f t="shared" si="7"/>
        <v>3.602928460252493</v>
      </c>
      <c r="V8" s="24">
        <f t="shared" si="8"/>
        <v>8.719086873811033</v>
      </c>
      <c r="W8" s="24">
        <f t="shared" si="9"/>
        <v>1.9455813685363461</v>
      </c>
      <c r="X8" s="24">
        <f t="shared" si="10"/>
        <v>0.7926442612555484</v>
      </c>
      <c r="Y8" s="24">
        <f t="shared" si="11"/>
        <v>15.060240963855419</v>
      </c>
      <c r="Z8" s="24">
        <f t="shared" si="12"/>
        <v>8.28430394671791</v>
      </c>
      <c r="AA8" s="24">
        <f t="shared" si="13"/>
        <v>20.048015551057347</v>
      </c>
      <c r="AB8" s="24">
        <f t="shared" si="14"/>
        <v>4.473524131227672</v>
      </c>
      <c r="AC8" s="24">
        <f t="shared" si="15"/>
        <v>1.8225468682779404</v>
      </c>
      <c r="AD8" s="24">
        <f t="shared" si="16"/>
        <v>34.62839049728087</v>
      </c>
    </row>
    <row r="9" spans="1:30" ht="12.75">
      <c r="A9" s="1">
        <v>1</v>
      </c>
      <c r="B9" s="1" t="s">
        <v>12</v>
      </c>
      <c r="C9" s="1">
        <v>1</v>
      </c>
      <c r="D9" s="1">
        <v>50</v>
      </c>
      <c r="E9" s="1">
        <v>198</v>
      </c>
      <c r="F9" s="1">
        <v>27</v>
      </c>
      <c r="G9" s="1">
        <v>28</v>
      </c>
      <c r="H9" s="2" t="s">
        <v>95</v>
      </c>
      <c r="I9" s="1">
        <v>7.9042</v>
      </c>
      <c r="J9" s="1">
        <v>9.3788</v>
      </c>
      <c r="K9" s="1">
        <v>8.497</v>
      </c>
      <c r="L9" s="1">
        <f t="shared" si="0"/>
        <v>59.799267597992696</v>
      </c>
      <c r="N9" s="1">
        <v>10.9</v>
      </c>
      <c r="O9" s="1">
        <f t="shared" si="1"/>
        <v>12.374600000000001</v>
      </c>
      <c r="P9" s="21">
        <f t="shared" si="2"/>
        <v>25477.707006369423</v>
      </c>
      <c r="Q9" s="21">
        <f t="shared" si="3"/>
        <v>100891.71974522292</v>
      </c>
      <c r="R9" s="21">
        <f t="shared" si="4"/>
        <v>13757.961783439488</v>
      </c>
      <c r="S9" s="21">
        <f t="shared" si="5"/>
        <v>14267.515923566876</v>
      </c>
      <c r="T9" s="21">
        <f t="shared" si="6"/>
        <v>154394.9044585987</v>
      </c>
      <c r="U9" s="24">
        <f t="shared" si="7"/>
        <v>4.040534643544033</v>
      </c>
      <c r="V9" s="24">
        <f t="shared" si="8"/>
        <v>16.000517188434372</v>
      </c>
      <c r="W9" s="24">
        <f t="shared" si="9"/>
        <v>2.181888707513778</v>
      </c>
      <c r="X9" s="24">
        <f t="shared" si="10"/>
        <v>2.2626994003846588</v>
      </c>
      <c r="Y9" s="24">
        <f t="shared" si="11"/>
        <v>24.485639939876844</v>
      </c>
      <c r="Z9" s="24">
        <f t="shared" si="12"/>
        <v>6.756829650000034</v>
      </c>
      <c r="AA9" s="24">
        <f t="shared" si="13"/>
        <v>26.75704541400013</v>
      </c>
      <c r="AB9" s="24">
        <f t="shared" si="14"/>
        <v>3.648688011000018</v>
      </c>
      <c r="AC9" s="24">
        <f t="shared" si="15"/>
        <v>3.783824604000019</v>
      </c>
      <c r="AD9" s="24">
        <f t="shared" si="16"/>
        <v>40.9463876790002</v>
      </c>
    </row>
    <row r="10" spans="1:30" ht="12.75">
      <c r="A10" s="1">
        <v>1</v>
      </c>
      <c r="B10" s="1" t="s">
        <v>12</v>
      </c>
      <c r="C10" s="1">
        <v>2</v>
      </c>
      <c r="D10" s="1">
        <v>71</v>
      </c>
      <c r="E10" s="1">
        <f>307+8</f>
        <v>315</v>
      </c>
      <c r="F10" s="1">
        <v>35</v>
      </c>
      <c r="G10" s="1">
        <v>46</v>
      </c>
      <c r="H10" s="2" t="s">
        <v>82</v>
      </c>
      <c r="I10" s="1">
        <v>7.745</v>
      </c>
      <c r="J10" s="1">
        <v>8.9445</v>
      </c>
      <c r="K10" s="1">
        <v>8.0756</v>
      </c>
      <c r="L10" s="1">
        <f t="shared" si="0"/>
        <v>72.4385160483535</v>
      </c>
      <c r="N10" s="1">
        <v>8.3</v>
      </c>
      <c r="O10" s="1">
        <f t="shared" si="1"/>
        <v>9.499500000000001</v>
      </c>
      <c r="P10" s="21">
        <f t="shared" si="2"/>
        <v>36178.34394904458</v>
      </c>
      <c r="Q10" s="21">
        <f t="shared" si="3"/>
        <v>160509.55414012738</v>
      </c>
      <c r="R10" s="21">
        <f t="shared" si="4"/>
        <v>17834.394904458597</v>
      </c>
      <c r="S10" s="21">
        <f t="shared" si="5"/>
        <v>23439.49044585987</v>
      </c>
      <c r="T10" s="21">
        <f t="shared" si="6"/>
        <v>237961.78343949045</v>
      </c>
      <c r="U10" s="24">
        <f t="shared" si="7"/>
        <v>7.4740775830306845</v>
      </c>
      <c r="V10" s="24">
        <f t="shared" si="8"/>
        <v>33.15963998105163</v>
      </c>
      <c r="W10" s="24">
        <f t="shared" si="9"/>
        <v>3.68440444233907</v>
      </c>
      <c r="X10" s="24">
        <f t="shared" si="10"/>
        <v>4.8423601242170635</v>
      </c>
      <c r="Y10" s="24">
        <f t="shared" si="11"/>
        <v>49.16048213063846</v>
      </c>
      <c r="Z10" s="24">
        <f t="shared" si="12"/>
        <v>10.31782260426436</v>
      </c>
      <c r="AA10" s="24">
        <f t="shared" si="13"/>
        <v>45.77625521610244</v>
      </c>
      <c r="AB10" s="24">
        <f t="shared" si="14"/>
        <v>5.086250579566938</v>
      </c>
      <c r="AC10" s="24">
        <f t="shared" si="15"/>
        <v>6.6847864760022615</v>
      </c>
      <c r="AD10" s="24">
        <f t="shared" si="16"/>
        <v>67.865114875936</v>
      </c>
    </row>
    <row r="11" spans="1:30" ht="12.75">
      <c r="A11" s="1">
        <v>2</v>
      </c>
      <c r="B11" s="1" t="s">
        <v>9</v>
      </c>
      <c r="C11" s="1">
        <v>1</v>
      </c>
      <c r="D11" s="1">
        <v>29</v>
      </c>
      <c r="E11" s="1">
        <v>123</v>
      </c>
      <c r="F11" s="1">
        <v>46</v>
      </c>
      <c r="G11" s="1">
        <v>24</v>
      </c>
      <c r="H11" s="5" t="s">
        <v>92</v>
      </c>
      <c r="I11" s="1">
        <v>7.5988</v>
      </c>
      <c r="J11" s="1">
        <v>8.9457</v>
      </c>
      <c r="K11" s="1">
        <v>8.1013</v>
      </c>
      <c r="L11" s="1">
        <f t="shared" si="0"/>
        <v>62.69210780310341</v>
      </c>
      <c r="N11" s="1">
        <v>10.33</v>
      </c>
      <c r="O11" s="1">
        <f t="shared" si="1"/>
        <v>11.6769</v>
      </c>
      <c r="P11" s="21">
        <f t="shared" si="2"/>
        <v>14777.070063694266</v>
      </c>
      <c r="Q11" s="21">
        <f t="shared" si="3"/>
        <v>62675.15923566878</v>
      </c>
      <c r="R11" s="21">
        <f t="shared" si="4"/>
        <v>23439.49044585987</v>
      </c>
      <c r="S11" s="21">
        <f t="shared" si="5"/>
        <v>12229.299363057324</v>
      </c>
      <c r="T11" s="21">
        <f t="shared" si="6"/>
        <v>113121.01910828023</v>
      </c>
      <c r="U11" s="24">
        <f t="shared" si="7"/>
        <v>2.4835358699654875</v>
      </c>
      <c r="V11" s="24">
        <f t="shared" si="8"/>
        <v>10.533617655370861</v>
      </c>
      <c r="W11" s="24">
        <f t="shared" si="9"/>
        <v>3.9394017247728423</v>
      </c>
      <c r="X11" s="24">
        <f t="shared" si="10"/>
        <v>2.0553400303162657</v>
      </c>
      <c r="Y11" s="24">
        <f t="shared" si="11"/>
        <v>19.011895280425456</v>
      </c>
      <c r="Z11" s="24">
        <f t="shared" si="12"/>
        <v>3.9614808896927</v>
      </c>
      <c r="AA11" s="24">
        <f t="shared" si="13"/>
        <v>16.802143083869037</v>
      </c>
      <c r="AB11" s="24">
        <f t="shared" si="14"/>
        <v>6.2837283077884205</v>
      </c>
      <c r="AC11" s="24">
        <f t="shared" si="15"/>
        <v>3.2784669431939584</v>
      </c>
      <c r="AD11" s="24">
        <f t="shared" si="16"/>
        <v>30.325819224544116</v>
      </c>
    </row>
    <row r="12" spans="1:30" ht="12.75">
      <c r="A12" s="1">
        <v>2</v>
      </c>
      <c r="B12" s="1" t="s">
        <v>9</v>
      </c>
      <c r="C12" s="1">
        <v>2</v>
      </c>
      <c r="D12" s="1">
        <v>28</v>
      </c>
      <c r="E12" s="1">
        <v>133</v>
      </c>
      <c r="F12" s="1">
        <v>37</v>
      </c>
      <c r="G12" s="1">
        <v>27</v>
      </c>
      <c r="H12" s="2" t="s">
        <v>81</v>
      </c>
      <c r="I12" s="1">
        <v>7.8186</v>
      </c>
      <c r="J12" s="1">
        <v>9.9236</v>
      </c>
      <c r="K12" s="1">
        <v>8.805</v>
      </c>
      <c r="L12" s="1">
        <f aca="true" t="shared" si="17" ref="L12:L42">100-(100*(K12-I12)/(J12-I12))</f>
        <v>53.14014251781475</v>
      </c>
      <c r="N12" s="1">
        <v>12.9</v>
      </c>
      <c r="O12" s="1">
        <f t="shared" si="1"/>
        <v>15.005</v>
      </c>
      <c r="P12" s="21">
        <f t="shared" si="2"/>
        <v>14267.515923566876</v>
      </c>
      <c r="Q12" s="21">
        <f t="shared" si="3"/>
        <v>67770.70063694267</v>
      </c>
      <c r="R12" s="21">
        <f t="shared" si="4"/>
        <v>18853.503184713372</v>
      </c>
      <c r="S12" s="21">
        <f t="shared" si="5"/>
        <v>13757.961783439488</v>
      </c>
      <c r="T12" s="21">
        <f t="shared" si="6"/>
        <v>114649.6815286624</v>
      </c>
      <c r="U12" s="24">
        <f t="shared" si="7"/>
        <v>1.866044651782739</v>
      </c>
      <c r="V12" s="24">
        <f t="shared" si="8"/>
        <v>8.86371209596801</v>
      </c>
      <c r="W12" s="24">
        <f t="shared" si="9"/>
        <v>2.4658447184271908</v>
      </c>
      <c r="X12" s="24">
        <f t="shared" si="10"/>
        <v>1.7994001999333555</v>
      </c>
      <c r="Y12" s="24">
        <f t="shared" si="11"/>
        <v>14.995001666111294</v>
      </c>
      <c r="Z12" s="24">
        <f t="shared" si="12"/>
        <v>3.511553720724713</v>
      </c>
      <c r="AA12" s="24">
        <f t="shared" si="13"/>
        <v>16.67988017344239</v>
      </c>
      <c r="AB12" s="24">
        <f t="shared" si="14"/>
        <v>4.640267416671942</v>
      </c>
      <c r="AC12" s="24">
        <f t="shared" si="15"/>
        <v>3.3861410878416875</v>
      </c>
      <c r="AD12" s="24">
        <f t="shared" si="16"/>
        <v>28.21784239868073</v>
      </c>
    </row>
    <row r="13" spans="1:30" ht="12.75">
      <c r="A13" s="1">
        <v>2</v>
      </c>
      <c r="B13" s="1" t="s">
        <v>10</v>
      </c>
      <c r="C13" s="1">
        <v>1</v>
      </c>
      <c r="D13" s="1">
        <v>23</v>
      </c>
      <c r="E13" s="1">
        <v>111</v>
      </c>
      <c r="F13" s="1">
        <v>51</v>
      </c>
      <c r="G13" s="1">
        <v>21</v>
      </c>
      <c r="H13" s="2" t="s">
        <v>91</v>
      </c>
      <c r="I13" s="1">
        <v>7.8795</v>
      </c>
      <c r="J13" s="1">
        <v>9.5041</v>
      </c>
      <c r="K13" s="1">
        <v>8.5729</v>
      </c>
      <c r="L13" s="1">
        <f t="shared" si="17"/>
        <v>57.318724609134506</v>
      </c>
      <c r="N13" s="1">
        <v>9.78</v>
      </c>
      <c r="O13" s="1">
        <f t="shared" si="1"/>
        <v>11.404599999999999</v>
      </c>
      <c r="P13" s="21">
        <f t="shared" si="2"/>
        <v>11719.745222929934</v>
      </c>
      <c r="Q13" s="21">
        <f t="shared" si="3"/>
        <v>56560.50955414012</v>
      </c>
      <c r="R13" s="21">
        <f t="shared" si="4"/>
        <v>25987.26114649681</v>
      </c>
      <c r="S13" s="21">
        <f t="shared" si="5"/>
        <v>10700.636942675157</v>
      </c>
      <c r="T13" s="21">
        <f t="shared" si="6"/>
        <v>104968.15286624202</v>
      </c>
      <c r="U13" s="24">
        <f t="shared" si="7"/>
        <v>2.0167300913666417</v>
      </c>
      <c r="V13" s="24">
        <f t="shared" si="8"/>
        <v>9.732914788769445</v>
      </c>
      <c r="W13" s="24">
        <f t="shared" si="9"/>
        <v>4.471879767812989</v>
      </c>
      <c r="X13" s="24">
        <f t="shared" si="10"/>
        <v>1.8413622573347599</v>
      </c>
      <c r="Y13" s="24">
        <f t="shared" si="11"/>
        <v>18.062886905283833</v>
      </c>
      <c r="Z13" s="24">
        <f t="shared" si="12"/>
        <v>3.51844899745946</v>
      </c>
      <c r="AA13" s="24">
        <f t="shared" si="13"/>
        <v>16.98034081382609</v>
      </c>
      <c r="AB13" s="24">
        <f t="shared" si="14"/>
        <v>7.801778211757933</v>
      </c>
      <c r="AC13" s="24">
        <f t="shared" si="15"/>
        <v>3.212496910723855</v>
      </c>
      <c r="AD13" s="24">
        <f t="shared" si="16"/>
        <v>31.513064933767335</v>
      </c>
    </row>
    <row r="14" spans="1:30" ht="12.75">
      <c r="A14" s="1">
        <v>2</v>
      </c>
      <c r="B14" s="1" t="s">
        <v>10</v>
      </c>
      <c r="C14" s="1">
        <v>2</v>
      </c>
      <c r="D14" s="1">
        <v>37</v>
      </c>
      <c r="E14" s="1">
        <v>160</v>
      </c>
      <c r="F14" s="1">
        <v>13</v>
      </c>
      <c r="G14" s="1">
        <v>12</v>
      </c>
      <c r="H14" s="2" t="s">
        <v>120</v>
      </c>
      <c r="I14" s="1">
        <v>9.2818</v>
      </c>
      <c r="J14" s="1">
        <v>10.5299</v>
      </c>
      <c r="K14" s="1">
        <v>9.643</v>
      </c>
      <c r="L14" s="1">
        <f t="shared" si="17"/>
        <v>71.06001121704988</v>
      </c>
      <c r="N14" s="1">
        <v>5.28</v>
      </c>
      <c r="O14" s="1">
        <f t="shared" si="1"/>
        <v>6.528099999999999</v>
      </c>
      <c r="P14" s="21">
        <f t="shared" si="2"/>
        <v>18853.503184713372</v>
      </c>
      <c r="Q14" s="21">
        <f t="shared" si="3"/>
        <v>81528.66242038216</v>
      </c>
      <c r="R14" s="21">
        <f t="shared" si="4"/>
        <v>6624.20382165605</v>
      </c>
      <c r="S14" s="21">
        <f t="shared" si="5"/>
        <v>6114.649681528662</v>
      </c>
      <c r="T14" s="21">
        <f t="shared" si="6"/>
        <v>113121.01910828025</v>
      </c>
      <c r="U14" s="24">
        <f t="shared" si="7"/>
        <v>5.667805333864371</v>
      </c>
      <c r="V14" s="24">
        <f t="shared" si="8"/>
        <v>24.50942847076485</v>
      </c>
      <c r="W14" s="24">
        <f t="shared" si="9"/>
        <v>1.991391063249644</v>
      </c>
      <c r="X14" s="24">
        <f t="shared" si="10"/>
        <v>1.8382071353073637</v>
      </c>
      <c r="Y14" s="24">
        <f t="shared" si="11"/>
        <v>34.00683200318623</v>
      </c>
      <c r="Z14" s="24">
        <f t="shared" si="12"/>
        <v>7.976082802115375</v>
      </c>
      <c r="AA14" s="24">
        <f t="shared" si="13"/>
        <v>34.49116887401243</v>
      </c>
      <c r="AB14" s="24">
        <f t="shared" si="14"/>
        <v>2.80240747101351</v>
      </c>
      <c r="AC14" s="24">
        <f t="shared" si="15"/>
        <v>2.5868376655509326</v>
      </c>
      <c r="AD14" s="24">
        <f t="shared" si="16"/>
        <v>47.85649681269224</v>
      </c>
    </row>
    <row r="15" spans="1:30" ht="12.75">
      <c r="A15" s="1">
        <v>2</v>
      </c>
      <c r="B15" s="1" t="s">
        <v>11</v>
      </c>
      <c r="C15" s="1">
        <v>1</v>
      </c>
      <c r="D15" s="1">
        <v>8</v>
      </c>
      <c r="E15" s="1">
        <v>34</v>
      </c>
      <c r="F15" s="1">
        <v>4</v>
      </c>
      <c r="G15" s="1">
        <v>3</v>
      </c>
      <c r="H15" s="2" t="s">
        <v>37</v>
      </c>
      <c r="I15" s="1">
        <v>7.9848</v>
      </c>
      <c r="J15" s="1">
        <v>10.7044</v>
      </c>
      <c r="K15" s="1">
        <v>9.6404</v>
      </c>
      <c r="L15" s="1">
        <f t="shared" si="17"/>
        <v>39.123400500073544</v>
      </c>
      <c r="N15" s="1">
        <v>15.82</v>
      </c>
      <c r="O15" s="1">
        <f t="shared" si="1"/>
        <v>18.5396</v>
      </c>
      <c r="P15" s="21">
        <f t="shared" si="2"/>
        <v>4076.4331210191076</v>
      </c>
      <c r="Q15" s="21">
        <f t="shared" si="3"/>
        <v>17324.84076433121</v>
      </c>
      <c r="R15" s="21">
        <f t="shared" si="4"/>
        <v>2038.2165605095538</v>
      </c>
      <c r="S15" s="21">
        <f t="shared" si="5"/>
        <v>1528.6624203821655</v>
      </c>
      <c r="T15" s="21">
        <f t="shared" si="6"/>
        <v>24968.15286624204</v>
      </c>
      <c r="U15" s="24">
        <f t="shared" si="7"/>
        <v>0.4315087704157587</v>
      </c>
      <c r="V15" s="24">
        <f t="shared" si="8"/>
        <v>1.8339122742669745</v>
      </c>
      <c r="W15" s="24">
        <f t="shared" si="9"/>
        <v>0.21575438520787935</v>
      </c>
      <c r="X15" s="24">
        <f t="shared" si="10"/>
        <v>0.1618157889059095</v>
      </c>
      <c r="Y15" s="24">
        <f t="shared" si="11"/>
        <v>2.6429912187965217</v>
      </c>
      <c r="Z15" s="24">
        <f t="shared" si="12"/>
        <v>1.1029429060363696</v>
      </c>
      <c r="AA15" s="24">
        <f t="shared" si="13"/>
        <v>4.68750735065457</v>
      </c>
      <c r="AB15" s="24">
        <f t="shared" si="14"/>
        <v>0.5514714530181848</v>
      </c>
      <c r="AC15" s="24">
        <f t="shared" si="15"/>
        <v>0.4136035897636386</v>
      </c>
      <c r="AD15" s="24">
        <f t="shared" si="16"/>
        <v>6.755525299472764</v>
      </c>
    </row>
    <row r="16" spans="1:30" ht="12.75">
      <c r="A16" s="1">
        <v>2</v>
      </c>
      <c r="B16" s="1" t="s">
        <v>11</v>
      </c>
      <c r="C16" s="1">
        <v>2</v>
      </c>
      <c r="D16" s="1">
        <v>96</v>
      </c>
      <c r="E16" s="1">
        <f>96+2</f>
        <v>98</v>
      </c>
      <c r="F16" s="1">
        <v>22</v>
      </c>
      <c r="G16" s="1">
        <v>12</v>
      </c>
      <c r="H16" s="2" t="s">
        <v>85</v>
      </c>
      <c r="I16" s="1">
        <v>7.6657</v>
      </c>
      <c r="J16" s="1">
        <v>9.1041</v>
      </c>
      <c r="K16" s="1">
        <v>8.1833</v>
      </c>
      <c r="L16" s="1">
        <f t="shared" si="17"/>
        <v>64.01557285873201</v>
      </c>
      <c r="N16" s="1">
        <v>5.61</v>
      </c>
      <c r="O16" s="1">
        <f t="shared" si="1"/>
        <v>7.048400000000001</v>
      </c>
      <c r="P16" s="21">
        <f t="shared" si="2"/>
        <v>48917.197452229295</v>
      </c>
      <c r="Q16" s="21">
        <f t="shared" si="3"/>
        <v>49936.30573248407</v>
      </c>
      <c r="R16" s="21">
        <f t="shared" si="4"/>
        <v>11210.191082802547</v>
      </c>
      <c r="S16" s="21">
        <f t="shared" si="5"/>
        <v>6114.649681528662</v>
      </c>
      <c r="T16" s="21">
        <f t="shared" si="6"/>
        <v>116178.34394904457</v>
      </c>
      <c r="U16" s="24">
        <f t="shared" si="7"/>
        <v>13.620112365927017</v>
      </c>
      <c r="V16" s="24">
        <f t="shared" si="8"/>
        <v>13.90386470688383</v>
      </c>
      <c r="W16" s="24">
        <f t="shared" si="9"/>
        <v>3.1212757505249416</v>
      </c>
      <c r="X16" s="24">
        <f t="shared" si="10"/>
        <v>1.7025140457408772</v>
      </c>
      <c r="Y16" s="24">
        <f t="shared" si="11"/>
        <v>32.347766869076665</v>
      </c>
      <c r="Z16" s="24">
        <f t="shared" si="12"/>
        <v>21.27624850906754</v>
      </c>
      <c r="AA16" s="24">
        <f t="shared" si="13"/>
        <v>21.71950368633978</v>
      </c>
      <c r="AB16" s="24">
        <f t="shared" si="14"/>
        <v>4.875806949994645</v>
      </c>
      <c r="AC16" s="24">
        <f t="shared" si="15"/>
        <v>2.6595310636334424</v>
      </c>
      <c r="AD16" s="24">
        <f t="shared" si="16"/>
        <v>50.53109020903541</v>
      </c>
    </row>
    <row r="17" spans="1:30" ht="12.75">
      <c r="A17" s="1">
        <v>2</v>
      </c>
      <c r="B17" s="1" t="s">
        <v>12</v>
      </c>
      <c r="C17" s="1">
        <v>1</v>
      </c>
      <c r="D17" s="1">
        <v>35</v>
      </c>
      <c r="E17" s="1">
        <v>72</v>
      </c>
      <c r="F17" s="1">
        <v>31</v>
      </c>
      <c r="G17" s="1">
        <v>11</v>
      </c>
      <c r="H17" s="2" t="s">
        <v>97</v>
      </c>
      <c r="I17" s="1">
        <v>7.3611</v>
      </c>
      <c r="J17" s="1">
        <v>8.4127</v>
      </c>
      <c r="K17" s="1">
        <v>7.6593</v>
      </c>
      <c r="L17" s="1">
        <f t="shared" si="17"/>
        <v>71.64321034613923</v>
      </c>
      <c r="N17" s="1">
        <v>5.91</v>
      </c>
      <c r="O17" s="1">
        <f t="shared" si="1"/>
        <v>6.961599999999999</v>
      </c>
      <c r="P17" s="21">
        <f t="shared" si="2"/>
        <v>17834.394904458597</v>
      </c>
      <c r="Q17" s="21">
        <f t="shared" si="3"/>
        <v>36687.89808917197</v>
      </c>
      <c r="R17" s="21">
        <f t="shared" si="4"/>
        <v>15796.178343949043</v>
      </c>
      <c r="S17" s="21">
        <f t="shared" si="5"/>
        <v>5605.095541401273</v>
      </c>
      <c r="T17" s="21">
        <f t="shared" si="6"/>
        <v>75923.56687898088</v>
      </c>
      <c r="U17" s="24">
        <f t="shared" si="7"/>
        <v>5.0275798666973115</v>
      </c>
      <c r="V17" s="24">
        <f t="shared" si="8"/>
        <v>10.342450011491612</v>
      </c>
      <c r="W17" s="24">
        <f t="shared" si="9"/>
        <v>4.452999310503333</v>
      </c>
      <c r="X17" s="24">
        <f t="shared" si="10"/>
        <v>1.5800965295334408</v>
      </c>
      <c r="Y17" s="24">
        <f t="shared" si="11"/>
        <v>21.4031257182257</v>
      </c>
      <c r="Z17" s="24">
        <f t="shared" si="12"/>
        <v>7.017524539180903</v>
      </c>
      <c r="AA17" s="24">
        <f t="shared" si="13"/>
        <v>14.436050480600715</v>
      </c>
      <c r="AB17" s="24">
        <f t="shared" si="14"/>
        <v>6.215521734703086</v>
      </c>
      <c r="AC17" s="24">
        <f t="shared" si="15"/>
        <v>2.2055077123139983</v>
      </c>
      <c r="AD17" s="24">
        <f t="shared" si="16"/>
        <v>29.8746044667987</v>
      </c>
    </row>
    <row r="18" spans="1:30" ht="12.75">
      <c r="A18" s="1">
        <v>2</v>
      </c>
      <c r="B18" s="1" t="s">
        <v>12</v>
      </c>
      <c r="C18" s="1">
        <v>2</v>
      </c>
      <c r="D18" s="1">
        <v>57</v>
      </c>
      <c r="E18" s="1">
        <v>46</v>
      </c>
      <c r="F18" s="1">
        <v>6</v>
      </c>
      <c r="G18" s="1">
        <v>2</v>
      </c>
      <c r="H18" s="2" t="s">
        <v>84</v>
      </c>
      <c r="I18" s="1">
        <v>7.7785</v>
      </c>
      <c r="J18" s="1">
        <v>8.9935</v>
      </c>
      <c r="K18" s="1">
        <v>7.966</v>
      </c>
      <c r="L18" s="1">
        <f t="shared" si="17"/>
        <v>84.56790123456788</v>
      </c>
      <c r="N18" s="1">
        <v>5.05</v>
      </c>
      <c r="O18" s="1">
        <f t="shared" si="1"/>
        <v>6.264999999999999</v>
      </c>
      <c r="P18" s="21">
        <f t="shared" si="2"/>
        <v>29044.585987261144</v>
      </c>
      <c r="Q18" s="21">
        <f t="shared" si="3"/>
        <v>23439.49044585987</v>
      </c>
      <c r="R18" s="21">
        <f t="shared" si="4"/>
        <v>3057.324840764331</v>
      </c>
      <c r="S18" s="21">
        <f t="shared" si="5"/>
        <v>1019.1082802547769</v>
      </c>
      <c r="T18" s="21">
        <f t="shared" si="6"/>
        <v>56560.50955414012</v>
      </c>
      <c r="U18" s="24">
        <f t="shared" si="7"/>
        <v>9.098164405426976</v>
      </c>
      <c r="V18" s="24">
        <f t="shared" si="8"/>
        <v>7.342378292098964</v>
      </c>
      <c r="W18" s="24">
        <f t="shared" si="9"/>
        <v>0.9577015163607344</v>
      </c>
      <c r="X18" s="24">
        <f t="shared" si="10"/>
        <v>0.3192338387869115</v>
      </c>
      <c r="Y18" s="24">
        <f t="shared" si="11"/>
        <v>17.717478052673588</v>
      </c>
      <c r="Z18" s="24">
        <f t="shared" si="12"/>
        <v>10.758413384519493</v>
      </c>
      <c r="AA18" s="24">
        <f t="shared" si="13"/>
        <v>8.682228345401695</v>
      </c>
      <c r="AB18" s="24">
        <f t="shared" si="14"/>
        <v>1.1324645667915254</v>
      </c>
      <c r="AC18" s="24">
        <f t="shared" si="15"/>
        <v>0.3774881889305085</v>
      </c>
      <c r="AD18" s="24">
        <f t="shared" si="16"/>
        <v>20.950594485643226</v>
      </c>
    </row>
    <row r="19" spans="1:30" ht="12.75">
      <c r="A19" s="1">
        <v>3</v>
      </c>
      <c r="B19" s="1" t="s">
        <v>9</v>
      </c>
      <c r="C19" s="1">
        <v>1</v>
      </c>
      <c r="D19" s="1">
        <v>53</v>
      </c>
      <c r="E19" s="1">
        <v>152</v>
      </c>
      <c r="F19" s="1">
        <v>30</v>
      </c>
      <c r="G19" s="1">
        <v>18</v>
      </c>
      <c r="H19" s="2" t="s">
        <v>96</v>
      </c>
      <c r="I19" s="1">
        <v>8.0739</v>
      </c>
      <c r="J19" s="1">
        <v>9.5993</v>
      </c>
      <c r="K19" s="1">
        <v>8.6718</v>
      </c>
      <c r="L19" s="1">
        <f t="shared" si="17"/>
        <v>60.80372361347847</v>
      </c>
      <c r="N19" s="1">
        <v>10.19</v>
      </c>
      <c r="O19" s="1">
        <f t="shared" si="1"/>
        <v>11.715399999999999</v>
      </c>
      <c r="P19" s="21">
        <f t="shared" si="2"/>
        <v>27006.36942675159</v>
      </c>
      <c r="Q19" s="21">
        <f t="shared" si="3"/>
        <v>77452.22929936304</v>
      </c>
      <c r="R19" s="21">
        <f t="shared" si="4"/>
        <v>15286.624203821653</v>
      </c>
      <c r="S19" s="21">
        <f t="shared" si="5"/>
        <v>9171.974522292992</v>
      </c>
      <c r="T19" s="21">
        <f t="shared" si="6"/>
        <v>128917.19745222929</v>
      </c>
      <c r="U19" s="24">
        <f t="shared" si="7"/>
        <v>4.52395991600799</v>
      </c>
      <c r="V19" s="24">
        <f t="shared" si="8"/>
        <v>12.974375608173858</v>
      </c>
      <c r="W19" s="24">
        <f t="shared" si="9"/>
        <v>2.560732027929051</v>
      </c>
      <c r="X19" s="24">
        <f t="shared" si="10"/>
        <v>1.5364392167574306</v>
      </c>
      <c r="Y19" s="24">
        <f t="shared" si="11"/>
        <v>21.595506768868326</v>
      </c>
      <c r="Z19" s="24">
        <f t="shared" si="12"/>
        <v>7.440267876958042</v>
      </c>
      <c r="AA19" s="24">
        <f t="shared" si="13"/>
        <v>21.338126741464574</v>
      </c>
      <c r="AB19" s="24">
        <f t="shared" si="14"/>
        <v>4.211472383183797</v>
      </c>
      <c r="AC19" s="24">
        <f t="shared" si="15"/>
        <v>2.5268834299102783</v>
      </c>
      <c r="AD19" s="24">
        <f t="shared" si="16"/>
        <v>35.51675043151669</v>
      </c>
    </row>
    <row r="20" spans="1:30" ht="12.75">
      <c r="A20" s="1">
        <v>3</v>
      </c>
      <c r="B20" s="1" t="s">
        <v>9</v>
      </c>
      <c r="C20" s="1">
        <v>2</v>
      </c>
      <c r="D20" s="1">
        <v>57</v>
      </c>
      <c r="E20" s="1">
        <v>128</v>
      </c>
      <c r="F20" s="1">
        <v>19</v>
      </c>
      <c r="G20" s="1">
        <v>70</v>
      </c>
      <c r="H20" s="2" t="s">
        <v>86</v>
      </c>
      <c r="I20" s="1">
        <v>8.2373</v>
      </c>
      <c r="J20" s="1">
        <v>10.0502</v>
      </c>
      <c r="K20" s="1">
        <v>9.2651</v>
      </c>
      <c r="L20" s="1">
        <f t="shared" si="17"/>
        <v>43.30630481548897</v>
      </c>
      <c r="N20" s="1">
        <v>10.68</v>
      </c>
      <c r="O20" s="1">
        <f t="shared" si="1"/>
        <v>12.4929</v>
      </c>
      <c r="P20" s="21">
        <f t="shared" si="2"/>
        <v>29044.585987261144</v>
      </c>
      <c r="Q20" s="21">
        <f t="shared" si="3"/>
        <v>65222.92993630572</v>
      </c>
      <c r="R20" s="21">
        <f t="shared" si="4"/>
        <v>9681.52866242038</v>
      </c>
      <c r="S20" s="21">
        <f t="shared" si="5"/>
        <v>35668.789808917194</v>
      </c>
      <c r="T20" s="21">
        <f t="shared" si="6"/>
        <v>139617.83439490444</v>
      </c>
      <c r="U20" s="24">
        <f t="shared" si="7"/>
        <v>4.562591552001536</v>
      </c>
      <c r="V20" s="24">
        <f t="shared" si="8"/>
        <v>10.24581962554731</v>
      </c>
      <c r="W20" s="24">
        <f t="shared" si="9"/>
        <v>1.520863850667179</v>
      </c>
      <c r="X20" s="24">
        <f t="shared" si="10"/>
        <v>5.603182607721186</v>
      </c>
      <c r="Y20" s="24">
        <f t="shared" si="11"/>
        <v>21.93245763593721</v>
      </c>
      <c r="Z20" s="24">
        <f t="shared" si="12"/>
        <v>10.535628868454452</v>
      </c>
      <c r="AA20" s="24">
        <f t="shared" si="13"/>
        <v>23.658956055476665</v>
      </c>
      <c r="AB20" s="24">
        <f t="shared" si="14"/>
        <v>3.5118762894848174</v>
      </c>
      <c r="AC20" s="24">
        <f t="shared" si="15"/>
        <v>12.938491592838801</v>
      </c>
      <c r="AD20" s="24">
        <f t="shared" si="16"/>
        <v>50.644952806254736</v>
      </c>
    </row>
    <row r="21" spans="1:30" ht="12.75">
      <c r="A21" s="1">
        <v>3</v>
      </c>
      <c r="B21" s="1" t="s">
        <v>10</v>
      </c>
      <c r="C21" s="1">
        <v>1</v>
      </c>
      <c r="D21" s="1">
        <v>113</v>
      </c>
      <c r="E21" s="1">
        <v>78</v>
      </c>
      <c r="F21" s="1">
        <v>13</v>
      </c>
      <c r="G21" s="1">
        <v>28</v>
      </c>
      <c r="H21" s="2" t="s">
        <v>98</v>
      </c>
      <c r="I21" s="1">
        <v>9.0965</v>
      </c>
      <c r="J21" s="1">
        <v>11.2049</v>
      </c>
      <c r="K21" s="1">
        <v>10.2328</v>
      </c>
      <c r="L21" s="1">
        <f t="shared" si="17"/>
        <v>46.10605198254606</v>
      </c>
      <c r="N21" s="1">
        <v>12.49</v>
      </c>
      <c r="O21" s="1">
        <f t="shared" si="1"/>
        <v>14.5984</v>
      </c>
      <c r="P21" s="21">
        <f t="shared" si="2"/>
        <v>57579.6178343949</v>
      </c>
      <c r="Q21" s="21">
        <f t="shared" si="3"/>
        <v>39745.2229299363</v>
      </c>
      <c r="R21" s="21">
        <f t="shared" si="4"/>
        <v>6624.20382165605</v>
      </c>
      <c r="S21" s="21">
        <f t="shared" si="5"/>
        <v>14267.515923566876</v>
      </c>
      <c r="T21" s="21">
        <f t="shared" si="6"/>
        <v>118216.56050955411</v>
      </c>
      <c r="U21" s="24">
        <f t="shared" si="7"/>
        <v>7.740574309513371</v>
      </c>
      <c r="V21" s="24">
        <f t="shared" si="8"/>
        <v>5.343051293292415</v>
      </c>
      <c r="W21" s="24">
        <f t="shared" si="9"/>
        <v>0.8905085488820693</v>
      </c>
      <c r="X21" s="24">
        <f t="shared" si="10"/>
        <v>1.9180184129767646</v>
      </c>
      <c r="Y21" s="24">
        <f t="shared" si="11"/>
        <v>15.892152564664618</v>
      </c>
      <c r="Z21" s="24">
        <f t="shared" si="12"/>
        <v>16.78862964116652</v>
      </c>
      <c r="AA21" s="24">
        <f t="shared" si="13"/>
        <v>11.588611610716711</v>
      </c>
      <c r="AB21" s="24">
        <f t="shared" si="14"/>
        <v>1.9314352684527853</v>
      </c>
      <c r="AC21" s="24">
        <f t="shared" si="15"/>
        <v>4.160014424359845</v>
      </c>
      <c r="AD21" s="24">
        <f t="shared" si="16"/>
        <v>34.46869094469586</v>
      </c>
    </row>
    <row r="22" spans="1:30" ht="12.75">
      <c r="A22" s="1">
        <v>3</v>
      </c>
      <c r="B22" s="1" t="s">
        <v>10</v>
      </c>
      <c r="C22" s="1">
        <v>2</v>
      </c>
      <c r="D22" s="1">
        <v>37</v>
      </c>
      <c r="E22" s="1">
        <v>163</v>
      </c>
      <c r="F22" s="1">
        <v>8</v>
      </c>
      <c r="G22" s="1">
        <v>18</v>
      </c>
      <c r="H22" s="2" t="s">
        <v>121</v>
      </c>
      <c r="I22" s="1">
        <v>8.5805</v>
      </c>
      <c r="J22" s="1">
        <v>9.9996</v>
      </c>
      <c r="K22" s="1">
        <v>9.1466</v>
      </c>
      <c r="L22" s="1">
        <f t="shared" si="17"/>
        <v>60.108519484180164</v>
      </c>
      <c r="N22" s="1">
        <v>12.26</v>
      </c>
      <c r="O22" s="1">
        <f t="shared" si="1"/>
        <v>13.679099999999998</v>
      </c>
      <c r="P22" s="21">
        <f t="shared" si="2"/>
        <v>18853.503184713372</v>
      </c>
      <c r="Q22" s="21">
        <f t="shared" si="3"/>
        <v>83057.32484076433</v>
      </c>
      <c r="R22" s="21">
        <f t="shared" si="4"/>
        <v>4076.4331210191076</v>
      </c>
      <c r="S22" s="21">
        <f t="shared" si="5"/>
        <v>9171.974522292992</v>
      </c>
      <c r="T22" s="21">
        <f t="shared" si="6"/>
        <v>115159.2356687898</v>
      </c>
      <c r="U22" s="24">
        <f t="shared" si="7"/>
        <v>2.704856313646366</v>
      </c>
      <c r="V22" s="24">
        <f t="shared" si="8"/>
        <v>11.915988624982639</v>
      </c>
      <c r="W22" s="24">
        <f t="shared" si="9"/>
        <v>0.5848337975451602</v>
      </c>
      <c r="X22" s="24">
        <f t="shared" si="10"/>
        <v>1.3158760444766104</v>
      </c>
      <c r="Y22" s="24">
        <f t="shared" si="11"/>
        <v>16.521554780650778</v>
      </c>
      <c r="Z22" s="24">
        <f t="shared" si="12"/>
        <v>4.49995497619643</v>
      </c>
      <c r="AA22" s="24">
        <f t="shared" si="13"/>
        <v>19.824125976216706</v>
      </c>
      <c r="AB22" s="24">
        <f t="shared" si="14"/>
        <v>0.9729632380965254</v>
      </c>
      <c r="AC22" s="24">
        <f t="shared" si="15"/>
        <v>2.189167285717182</v>
      </c>
      <c r="AD22" s="24">
        <f t="shared" si="16"/>
        <v>27.486211476226845</v>
      </c>
    </row>
    <row r="23" spans="1:30" ht="12.75">
      <c r="A23" s="1">
        <v>3</v>
      </c>
      <c r="B23" s="1" t="s">
        <v>11</v>
      </c>
      <c r="C23" s="1">
        <v>1</v>
      </c>
      <c r="D23" s="1">
        <v>19</v>
      </c>
      <c r="E23" s="1">
        <v>51</v>
      </c>
      <c r="F23" s="1">
        <v>4</v>
      </c>
      <c r="G23" s="1">
        <v>4</v>
      </c>
      <c r="H23" s="2" t="s">
        <v>96</v>
      </c>
      <c r="I23" s="1">
        <v>7.8071</v>
      </c>
      <c r="J23" s="1">
        <v>10.576</v>
      </c>
      <c r="K23" s="1">
        <v>9.7021</v>
      </c>
      <c r="L23" s="1">
        <f t="shared" si="17"/>
        <v>31.56126981833944</v>
      </c>
      <c r="N23" s="1">
        <v>20.08</v>
      </c>
      <c r="O23" s="1">
        <f t="shared" si="1"/>
        <v>22.8489</v>
      </c>
      <c r="P23" s="21">
        <f t="shared" si="2"/>
        <v>9681.52866242038</v>
      </c>
      <c r="Q23" s="21">
        <f t="shared" si="3"/>
        <v>25987.26114649681</v>
      </c>
      <c r="R23" s="21">
        <f t="shared" si="4"/>
        <v>2038.2165605095538</v>
      </c>
      <c r="S23" s="21">
        <f t="shared" si="5"/>
        <v>2038.2165605095538</v>
      </c>
      <c r="T23" s="21">
        <f t="shared" si="6"/>
        <v>39745.222929936295</v>
      </c>
      <c r="U23" s="24">
        <f t="shared" si="7"/>
        <v>0.8315498776746364</v>
      </c>
      <c r="V23" s="24">
        <f t="shared" si="8"/>
        <v>2.2320549348108663</v>
      </c>
      <c r="W23" s="24">
        <f t="shared" si="9"/>
        <v>0.1750631321420287</v>
      </c>
      <c r="X23" s="24">
        <f t="shared" si="10"/>
        <v>0.1750631321420287</v>
      </c>
      <c r="Y23" s="24">
        <f t="shared" si="11"/>
        <v>3.41373107676956</v>
      </c>
      <c r="Z23" s="24">
        <f t="shared" si="12"/>
        <v>2.6347161646564814</v>
      </c>
      <c r="AA23" s="24">
        <f t="shared" si="13"/>
        <v>7.072132863025292</v>
      </c>
      <c r="AB23" s="24">
        <f t="shared" si="14"/>
        <v>0.5546770872961013</v>
      </c>
      <c r="AC23" s="24">
        <f t="shared" si="15"/>
        <v>0.5546770872961013</v>
      </c>
      <c r="AD23" s="24">
        <f t="shared" si="16"/>
        <v>10.816203202273975</v>
      </c>
    </row>
    <row r="24" spans="1:30" ht="12.75">
      <c r="A24" s="1">
        <v>3</v>
      </c>
      <c r="B24" s="1" t="s">
        <v>11</v>
      </c>
      <c r="C24" s="1">
        <v>2</v>
      </c>
      <c r="D24" s="1">
        <v>72</v>
      </c>
      <c r="E24" s="1">
        <v>157</v>
      </c>
      <c r="F24" s="1">
        <v>28</v>
      </c>
      <c r="G24" s="1">
        <v>10</v>
      </c>
      <c r="H24" s="2" t="s">
        <v>83</v>
      </c>
      <c r="I24" s="1">
        <v>7.9186</v>
      </c>
      <c r="J24" s="1">
        <v>9.8127</v>
      </c>
      <c r="K24" s="1">
        <v>8.9615</v>
      </c>
      <c r="L24" s="1">
        <f t="shared" si="17"/>
        <v>44.93954912623412</v>
      </c>
      <c r="N24" s="1">
        <v>15.08</v>
      </c>
      <c r="O24" s="1">
        <f t="shared" si="1"/>
        <v>16.9741</v>
      </c>
      <c r="P24" s="21">
        <f t="shared" si="2"/>
        <v>36687.89808917197</v>
      </c>
      <c r="Q24" s="21">
        <f t="shared" si="3"/>
        <v>79999.99999999999</v>
      </c>
      <c r="R24" s="21">
        <f t="shared" si="4"/>
        <v>14267.515923566876</v>
      </c>
      <c r="S24" s="21">
        <f t="shared" si="5"/>
        <v>5095.541401273885</v>
      </c>
      <c r="T24" s="21">
        <f t="shared" si="6"/>
        <v>136050.95541401271</v>
      </c>
      <c r="U24" s="24">
        <f t="shared" si="7"/>
        <v>4.241756558521512</v>
      </c>
      <c r="V24" s="24">
        <f t="shared" si="8"/>
        <v>9.249385828998298</v>
      </c>
      <c r="W24" s="24">
        <f t="shared" si="9"/>
        <v>1.649571994980588</v>
      </c>
      <c r="X24" s="24">
        <f t="shared" si="10"/>
        <v>0.58913285535021</v>
      </c>
      <c r="Y24" s="24">
        <f t="shared" si="11"/>
        <v>15.729847237850608</v>
      </c>
      <c r="Z24" s="24">
        <f t="shared" si="12"/>
        <v>9.438805330704408</v>
      </c>
      <c r="AA24" s="24">
        <f t="shared" si="13"/>
        <v>20.58183940167489</v>
      </c>
      <c r="AB24" s="24">
        <f t="shared" si="14"/>
        <v>3.670646517496159</v>
      </c>
      <c r="AC24" s="24">
        <f t="shared" si="15"/>
        <v>1.3109451848200566</v>
      </c>
      <c r="AD24" s="24">
        <f t="shared" si="16"/>
        <v>35.00223643469551</v>
      </c>
    </row>
    <row r="25" spans="1:30" ht="12.75">
      <c r="A25" s="1">
        <v>3</v>
      </c>
      <c r="B25" s="1" t="s">
        <v>12</v>
      </c>
      <c r="C25" s="1">
        <v>1</v>
      </c>
      <c r="D25" s="1">
        <v>36</v>
      </c>
      <c r="E25" s="1">
        <v>87</v>
      </c>
      <c r="F25" s="1">
        <v>13</v>
      </c>
      <c r="G25" s="1">
        <v>8</v>
      </c>
      <c r="H25" s="2" t="s">
        <v>101</v>
      </c>
      <c r="I25" s="1">
        <v>8.2422</v>
      </c>
      <c r="J25" s="1">
        <v>10.3789</v>
      </c>
      <c r="K25" s="1">
        <v>9.3198</v>
      </c>
      <c r="L25" s="1">
        <f t="shared" si="17"/>
        <v>49.56708943698223</v>
      </c>
      <c r="N25" s="1">
        <v>7.46</v>
      </c>
      <c r="O25" s="1">
        <f t="shared" si="1"/>
        <v>9.596699999999998</v>
      </c>
      <c r="P25" s="21">
        <f t="shared" si="2"/>
        <v>18343.949044585985</v>
      </c>
      <c r="Q25" s="21">
        <f t="shared" si="3"/>
        <v>44331.2101910828</v>
      </c>
      <c r="R25" s="21">
        <f t="shared" si="4"/>
        <v>6624.20382165605</v>
      </c>
      <c r="S25" s="21">
        <f t="shared" si="5"/>
        <v>4076.4331210191076</v>
      </c>
      <c r="T25" s="21">
        <f t="shared" si="6"/>
        <v>73375.79617834394</v>
      </c>
      <c r="U25" s="24">
        <f t="shared" si="7"/>
        <v>3.751289505767608</v>
      </c>
      <c r="V25" s="24">
        <f t="shared" si="8"/>
        <v>9.065616305605053</v>
      </c>
      <c r="W25" s="24">
        <f t="shared" si="9"/>
        <v>1.3546323215271918</v>
      </c>
      <c r="X25" s="24">
        <f t="shared" si="10"/>
        <v>0.8336198901705796</v>
      </c>
      <c r="Y25" s="24">
        <f t="shared" si="11"/>
        <v>15.00515802307043</v>
      </c>
      <c r="Z25" s="24">
        <f t="shared" si="12"/>
        <v>7.5681052657668335</v>
      </c>
      <c r="AA25" s="24">
        <f t="shared" si="13"/>
        <v>18.28958772560318</v>
      </c>
      <c r="AB25" s="24">
        <f t="shared" si="14"/>
        <v>2.732926901526912</v>
      </c>
      <c r="AC25" s="24">
        <f t="shared" si="15"/>
        <v>1.6818011701704074</v>
      </c>
      <c r="AD25" s="24">
        <f t="shared" si="16"/>
        <v>30.272421063067334</v>
      </c>
    </row>
    <row r="26" spans="1:30" ht="12.75">
      <c r="A26" s="1">
        <v>3</v>
      </c>
      <c r="B26" s="1" t="s">
        <v>12</v>
      </c>
      <c r="C26" s="1">
        <v>2</v>
      </c>
      <c r="D26" s="1">
        <v>74</v>
      </c>
      <c r="E26" s="1">
        <f>267+4</f>
        <v>271</v>
      </c>
      <c r="F26" s="1">
        <v>24</v>
      </c>
      <c r="G26" s="1">
        <v>27</v>
      </c>
      <c r="H26" s="2" t="s">
        <v>37</v>
      </c>
      <c r="I26" s="1">
        <v>8.9685</v>
      </c>
      <c r="J26" s="1">
        <v>10.5845</v>
      </c>
      <c r="K26" s="1">
        <v>9.5802</v>
      </c>
      <c r="L26" s="1">
        <f t="shared" si="17"/>
        <v>62.147277227722824</v>
      </c>
      <c r="N26" s="1">
        <v>10.78</v>
      </c>
      <c r="O26" s="1">
        <f t="shared" si="1"/>
        <v>12.395999999999999</v>
      </c>
      <c r="P26" s="21">
        <f t="shared" si="2"/>
        <v>37707.006369426745</v>
      </c>
      <c r="Q26" s="21">
        <f t="shared" si="3"/>
        <v>138089.17197452227</v>
      </c>
      <c r="R26" s="21">
        <f t="shared" si="4"/>
        <v>12229.299363057324</v>
      </c>
      <c r="S26" s="21">
        <f t="shared" si="5"/>
        <v>13757.961783439488</v>
      </c>
      <c r="T26" s="21">
        <f t="shared" si="6"/>
        <v>201783.43949044583</v>
      </c>
      <c r="U26" s="24">
        <f t="shared" si="7"/>
        <v>5.969667634720878</v>
      </c>
      <c r="V26" s="24">
        <f t="shared" si="8"/>
        <v>21.861890932558893</v>
      </c>
      <c r="W26" s="24">
        <f t="shared" si="9"/>
        <v>1.9361084220716362</v>
      </c>
      <c r="X26" s="24">
        <f t="shared" si="10"/>
        <v>2.178121974830591</v>
      </c>
      <c r="Y26" s="24">
        <f t="shared" si="11"/>
        <v>31.945788964182</v>
      </c>
      <c r="Z26" s="24">
        <f t="shared" si="12"/>
        <v>9.605678480243883</v>
      </c>
      <c r="AA26" s="24">
        <f t="shared" si="13"/>
        <v>35.17755227224449</v>
      </c>
      <c r="AB26" s="24">
        <f t="shared" si="14"/>
        <v>3.1153551827818</v>
      </c>
      <c r="AC26" s="24">
        <f t="shared" si="15"/>
        <v>3.504774580629525</v>
      </c>
      <c r="AD26" s="24">
        <f t="shared" si="16"/>
        <v>51.40336051589969</v>
      </c>
    </row>
    <row r="27" spans="1:30" ht="12.75">
      <c r="A27" s="1">
        <v>4</v>
      </c>
      <c r="B27" s="1" t="s">
        <v>9</v>
      </c>
      <c r="C27" s="1">
        <v>1</v>
      </c>
      <c r="D27" s="1">
        <v>44</v>
      </c>
      <c r="E27" s="1">
        <v>111</v>
      </c>
      <c r="F27" s="1">
        <v>13</v>
      </c>
      <c r="G27" s="1">
        <v>23</v>
      </c>
      <c r="H27" s="2" t="s">
        <v>99</v>
      </c>
      <c r="I27" s="1">
        <v>8.6409</v>
      </c>
      <c r="J27" s="1">
        <v>10.3339</v>
      </c>
      <c r="K27" s="1">
        <v>9.3058</v>
      </c>
      <c r="L27" s="1">
        <f t="shared" si="17"/>
        <v>60.72652096869465</v>
      </c>
      <c r="N27" s="1">
        <v>12.19</v>
      </c>
      <c r="O27" s="1">
        <f t="shared" si="1"/>
        <v>13.883</v>
      </c>
      <c r="P27" s="21">
        <f t="shared" si="2"/>
        <v>22420.382165605093</v>
      </c>
      <c r="Q27" s="21">
        <f t="shared" si="3"/>
        <v>56560.50955414012</v>
      </c>
      <c r="R27" s="21">
        <f t="shared" si="4"/>
        <v>6624.20382165605</v>
      </c>
      <c r="S27" s="21">
        <f t="shared" si="5"/>
        <v>11719.745222929934</v>
      </c>
      <c r="T27" s="21">
        <f t="shared" si="6"/>
        <v>97324.8407643312</v>
      </c>
      <c r="U27" s="24">
        <f t="shared" si="7"/>
        <v>3.1693438017719515</v>
      </c>
      <c r="V27" s="24">
        <f t="shared" si="8"/>
        <v>7.995390045379241</v>
      </c>
      <c r="W27" s="24">
        <f t="shared" si="9"/>
        <v>0.9363970323417129</v>
      </c>
      <c r="X27" s="24">
        <f t="shared" si="10"/>
        <v>1.6567024418353382</v>
      </c>
      <c r="Y27" s="24">
        <f t="shared" si="11"/>
        <v>13.757833321328246</v>
      </c>
      <c r="Z27" s="24">
        <f t="shared" si="12"/>
        <v>5.219043922186471</v>
      </c>
      <c r="AA27" s="24">
        <f t="shared" si="13"/>
        <v>13.166224440061326</v>
      </c>
      <c r="AB27" s="24">
        <f t="shared" si="14"/>
        <v>1.541990249736912</v>
      </c>
      <c r="AC27" s="24">
        <f t="shared" si="15"/>
        <v>2.7281365956883827</v>
      </c>
      <c r="AD27" s="24">
        <f t="shared" si="16"/>
        <v>22.65539520767309</v>
      </c>
    </row>
    <row r="28" spans="1:30" ht="12.75">
      <c r="A28" s="1">
        <v>4</v>
      </c>
      <c r="B28" s="1" t="s">
        <v>9</v>
      </c>
      <c r="C28" s="1">
        <v>2</v>
      </c>
      <c r="D28" s="1">
        <v>31</v>
      </c>
      <c r="E28" s="1">
        <v>122</v>
      </c>
      <c r="F28" s="1">
        <v>10</v>
      </c>
      <c r="G28" s="1">
        <v>23</v>
      </c>
      <c r="H28" s="2" t="s">
        <v>87</v>
      </c>
      <c r="I28" s="1">
        <v>7.3158</v>
      </c>
      <c r="J28" s="1">
        <v>9.8813</v>
      </c>
      <c r="K28" s="1">
        <v>8.8208</v>
      </c>
      <c r="L28" s="1">
        <f t="shared" si="17"/>
        <v>41.3369713506139</v>
      </c>
      <c r="N28" s="1">
        <v>19.49</v>
      </c>
      <c r="O28" s="1">
        <f t="shared" si="1"/>
        <v>22.0555</v>
      </c>
      <c r="P28" s="21">
        <f t="shared" si="2"/>
        <v>15796.178343949043</v>
      </c>
      <c r="Q28" s="21">
        <f t="shared" si="3"/>
        <v>62165.605095541396</v>
      </c>
      <c r="R28" s="21">
        <f t="shared" si="4"/>
        <v>5095.541401273885</v>
      </c>
      <c r="S28" s="21">
        <f t="shared" si="5"/>
        <v>11719.745222929934</v>
      </c>
      <c r="T28" s="21">
        <f t="shared" si="6"/>
        <v>94777.07006369426</v>
      </c>
      <c r="U28" s="24">
        <f t="shared" si="7"/>
        <v>1.4055451021287209</v>
      </c>
      <c r="V28" s="24">
        <f t="shared" si="8"/>
        <v>5.531500079345288</v>
      </c>
      <c r="W28" s="24">
        <f t="shared" si="9"/>
        <v>0.45340164584797443</v>
      </c>
      <c r="X28" s="24">
        <f t="shared" si="10"/>
        <v>1.0428237854503413</v>
      </c>
      <c r="Y28" s="24">
        <f t="shared" si="11"/>
        <v>8.433270612772324</v>
      </c>
      <c r="Z28" s="24">
        <f t="shared" si="12"/>
        <v>3.400213068846049</v>
      </c>
      <c r="AA28" s="24">
        <f t="shared" si="13"/>
        <v>13.381483690297353</v>
      </c>
      <c r="AB28" s="24">
        <f t="shared" si="14"/>
        <v>1.0968429254342091</v>
      </c>
      <c r="AC28" s="24">
        <f t="shared" si="15"/>
        <v>2.5227387284986813</v>
      </c>
      <c r="AD28" s="24">
        <f t="shared" si="16"/>
        <v>20.40127841307629</v>
      </c>
    </row>
    <row r="29" spans="1:30" ht="12.75">
      <c r="A29" s="1">
        <v>4</v>
      </c>
      <c r="B29" s="1" t="s">
        <v>10</v>
      </c>
      <c r="C29" s="1">
        <v>1</v>
      </c>
      <c r="D29" s="1">
        <v>49</v>
      </c>
      <c r="E29" s="1">
        <v>171</v>
      </c>
      <c r="F29" s="1">
        <v>20</v>
      </c>
      <c r="G29" s="1">
        <v>23</v>
      </c>
      <c r="H29" s="2" t="s">
        <v>100</v>
      </c>
      <c r="I29" s="1">
        <v>8.0066</v>
      </c>
      <c r="J29" s="1">
        <v>9.8714</v>
      </c>
      <c r="K29" s="1">
        <v>9.017</v>
      </c>
      <c r="L29" s="1">
        <f t="shared" si="17"/>
        <v>45.81724581724585</v>
      </c>
      <c r="N29" s="1">
        <v>15.67</v>
      </c>
      <c r="O29" s="1">
        <f t="shared" si="1"/>
        <v>17.534799999999997</v>
      </c>
      <c r="P29" s="21">
        <f t="shared" si="2"/>
        <v>24968.152866242035</v>
      </c>
      <c r="Q29" s="21">
        <f t="shared" si="3"/>
        <v>87133.75796178343</v>
      </c>
      <c r="R29" s="21">
        <f t="shared" si="4"/>
        <v>10191.08280254777</v>
      </c>
      <c r="S29" s="21">
        <f t="shared" si="5"/>
        <v>11719.745222929934</v>
      </c>
      <c r="T29" s="21">
        <f t="shared" si="6"/>
        <v>134012.73885350316</v>
      </c>
      <c r="U29" s="24">
        <f t="shared" si="7"/>
        <v>2.7944430503912225</v>
      </c>
      <c r="V29" s="24">
        <f t="shared" si="8"/>
        <v>9.752035951365286</v>
      </c>
      <c r="W29" s="24">
        <f t="shared" si="9"/>
        <v>1.1405890001596826</v>
      </c>
      <c r="X29" s="24">
        <f t="shared" si="10"/>
        <v>1.311677350183635</v>
      </c>
      <c r="Y29" s="24">
        <f t="shared" si="11"/>
        <v>14.998745352099826</v>
      </c>
      <c r="Z29" s="24">
        <f t="shared" si="12"/>
        <v>6.0991074442527475</v>
      </c>
      <c r="AA29" s="24">
        <f t="shared" si="13"/>
        <v>21.28464026463714</v>
      </c>
      <c r="AB29" s="24">
        <f t="shared" si="14"/>
        <v>2.4894316098990807</v>
      </c>
      <c r="AC29" s="24">
        <f t="shared" si="15"/>
        <v>2.8628463513839426</v>
      </c>
      <c r="AD29" s="24">
        <f t="shared" si="16"/>
        <v>32.736025670172914</v>
      </c>
    </row>
    <row r="30" spans="1:30" ht="12.75">
      <c r="A30" s="1">
        <v>4</v>
      </c>
      <c r="B30" s="1" t="s">
        <v>10</v>
      </c>
      <c r="C30" s="1">
        <v>2</v>
      </c>
      <c r="D30" s="1">
        <v>49</v>
      </c>
      <c r="E30" s="1">
        <v>157</v>
      </c>
      <c r="F30" s="1">
        <v>21</v>
      </c>
      <c r="G30" s="1">
        <v>46</v>
      </c>
      <c r="H30" s="2" t="s">
        <v>119</v>
      </c>
      <c r="I30" s="1">
        <v>7.8782</v>
      </c>
      <c r="J30" s="1">
        <v>9.0002</v>
      </c>
      <c r="K30" s="1">
        <v>8.2717</v>
      </c>
      <c r="L30" s="1">
        <f t="shared" si="17"/>
        <v>64.9286987522282</v>
      </c>
      <c r="N30" s="1">
        <v>5.97</v>
      </c>
      <c r="O30" s="1">
        <f t="shared" si="1"/>
        <v>7.092</v>
      </c>
      <c r="P30" s="21">
        <f t="shared" si="2"/>
        <v>24968.152866242035</v>
      </c>
      <c r="Q30" s="21">
        <f t="shared" si="3"/>
        <v>79999.99999999999</v>
      </c>
      <c r="R30" s="21">
        <f t="shared" si="4"/>
        <v>10700.636942675157</v>
      </c>
      <c r="S30" s="21">
        <f t="shared" si="5"/>
        <v>23439.49044585987</v>
      </c>
      <c r="T30" s="21">
        <f t="shared" si="6"/>
        <v>139108.28025477706</v>
      </c>
      <c r="U30" s="24">
        <f t="shared" si="7"/>
        <v>6.909193457416808</v>
      </c>
      <c r="V30" s="24">
        <f t="shared" si="8"/>
        <v>22.137619853355893</v>
      </c>
      <c r="W30" s="24">
        <f t="shared" si="9"/>
        <v>2.961082910321489</v>
      </c>
      <c r="X30" s="24">
        <f t="shared" si="10"/>
        <v>6.486181613085167</v>
      </c>
      <c r="Y30" s="24">
        <f t="shared" si="11"/>
        <v>38.49407783417936</v>
      </c>
      <c r="Z30" s="24">
        <f t="shared" si="12"/>
        <v>10.641201179439472</v>
      </c>
      <c r="AA30" s="24">
        <f t="shared" si="13"/>
        <v>34.0952772484081</v>
      </c>
      <c r="AB30" s="24">
        <f t="shared" si="14"/>
        <v>4.560514791188345</v>
      </c>
      <c r="AC30" s="24">
        <f t="shared" si="15"/>
        <v>9.989699066412564</v>
      </c>
      <c r="AD30" s="24">
        <f t="shared" si="16"/>
        <v>59.28669228544848</v>
      </c>
    </row>
    <row r="31" spans="1:30" ht="12.75">
      <c r="A31" s="1">
        <v>4</v>
      </c>
      <c r="B31" s="1" t="s">
        <v>11</v>
      </c>
      <c r="C31" s="1">
        <v>1</v>
      </c>
      <c r="D31" s="1">
        <v>46</v>
      </c>
      <c r="E31" s="1">
        <v>112</v>
      </c>
      <c r="F31" s="1">
        <v>17</v>
      </c>
      <c r="G31" s="1">
        <v>26</v>
      </c>
      <c r="H31" s="2" t="s">
        <v>95</v>
      </c>
      <c r="I31" s="1">
        <v>7.7003</v>
      </c>
      <c r="J31" s="1">
        <v>9.9788</v>
      </c>
      <c r="K31" s="1">
        <v>8.9521</v>
      </c>
      <c r="L31" s="1">
        <f t="shared" si="17"/>
        <v>45.060346719332905</v>
      </c>
      <c r="N31" s="1">
        <v>10.58</v>
      </c>
      <c r="O31" s="1">
        <f t="shared" si="1"/>
        <v>12.8585</v>
      </c>
      <c r="P31" s="21">
        <f t="shared" si="2"/>
        <v>23439.49044585987</v>
      </c>
      <c r="Q31" s="21">
        <f t="shared" si="3"/>
        <v>57070.063694267505</v>
      </c>
      <c r="R31" s="21">
        <f t="shared" si="4"/>
        <v>8662.420382165605</v>
      </c>
      <c r="S31" s="21">
        <f t="shared" si="5"/>
        <v>13248.4076433121</v>
      </c>
      <c r="T31" s="21">
        <f t="shared" si="6"/>
        <v>102420.38216560509</v>
      </c>
      <c r="U31" s="24">
        <f t="shared" si="7"/>
        <v>3.577400163316095</v>
      </c>
      <c r="V31" s="24">
        <f t="shared" si="8"/>
        <v>8.710191701987013</v>
      </c>
      <c r="W31" s="24">
        <f t="shared" si="9"/>
        <v>1.3220826690516</v>
      </c>
      <c r="X31" s="24">
        <f t="shared" si="10"/>
        <v>2.022008787961271</v>
      </c>
      <c r="Y31" s="24">
        <f t="shared" si="11"/>
        <v>15.631683322315977</v>
      </c>
      <c r="Z31" s="24">
        <f t="shared" si="12"/>
        <v>7.9391314620782305</v>
      </c>
      <c r="AA31" s="24">
        <f t="shared" si="13"/>
        <v>19.33005921201656</v>
      </c>
      <c r="AB31" s="24">
        <f t="shared" si="14"/>
        <v>2.934026844681085</v>
      </c>
      <c r="AC31" s="24">
        <f t="shared" si="15"/>
        <v>4.48733517421813</v>
      </c>
      <c r="AD31" s="24">
        <f t="shared" si="16"/>
        <v>34.690552692994004</v>
      </c>
    </row>
    <row r="32" spans="1:30" ht="12.75">
      <c r="A32" s="1">
        <v>4</v>
      </c>
      <c r="B32" s="1" t="s">
        <v>11</v>
      </c>
      <c r="C32" s="1">
        <v>2</v>
      </c>
      <c r="D32" s="1">
        <v>21</v>
      </c>
      <c r="E32" s="1">
        <v>120</v>
      </c>
      <c r="F32" s="1">
        <v>10</v>
      </c>
      <c r="G32" s="1">
        <v>12</v>
      </c>
      <c r="H32" s="2" t="s">
        <v>88</v>
      </c>
      <c r="I32" s="1">
        <v>7.8331</v>
      </c>
      <c r="J32" s="1">
        <v>9.7532</v>
      </c>
      <c r="K32" s="1">
        <v>8.6386</v>
      </c>
      <c r="L32" s="1">
        <f t="shared" si="17"/>
        <v>58.049059944794514</v>
      </c>
      <c r="N32" s="1">
        <v>12.84</v>
      </c>
      <c r="O32" s="1">
        <f t="shared" si="1"/>
        <v>14.7601</v>
      </c>
      <c r="P32" s="21">
        <f t="shared" si="2"/>
        <v>10700.636942675157</v>
      </c>
      <c r="Q32" s="21">
        <f t="shared" si="3"/>
        <v>61146.49681528661</v>
      </c>
      <c r="R32" s="21">
        <f t="shared" si="4"/>
        <v>5095.541401273885</v>
      </c>
      <c r="S32" s="21">
        <f t="shared" si="5"/>
        <v>6114.649681528662</v>
      </c>
      <c r="T32" s="21">
        <f t="shared" si="6"/>
        <v>83057.32484076433</v>
      </c>
      <c r="U32" s="24">
        <f t="shared" si="7"/>
        <v>1.4227545883835475</v>
      </c>
      <c r="V32" s="24">
        <f t="shared" si="8"/>
        <v>8.130026219334557</v>
      </c>
      <c r="W32" s="24">
        <f t="shared" si="9"/>
        <v>0.6775021849445465</v>
      </c>
      <c r="X32" s="24">
        <f t="shared" si="10"/>
        <v>0.8130026219334557</v>
      </c>
      <c r="Y32" s="24">
        <f t="shared" si="11"/>
        <v>11.043285614596106</v>
      </c>
      <c r="Z32" s="24">
        <f t="shared" si="12"/>
        <v>2.4509519873992924</v>
      </c>
      <c r="AA32" s="24">
        <f t="shared" si="13"/>
        <v>14.005439927995956</v>
      </c>
      <c r="AB32" s="24">
        <f t="shared" si="14"/>
        <v>1.167119993999663</v>
      </c>
      <c r="AC32" s="24">
        <f t="shared" si="15"/>
        <v>1.4005439927995957</v>
      </c>
      <c r="AD32" s="24">
        <f t="shared" si="16"/>
        <v>19.024055902194505</v>
      </c>
    </row>
    <row r="33" spans="1:30" ht="12.75">
      <c r="A33" s="1">
        <v>4</v>
      </c>
      <c r="B33" s="1" t="s">
        <v>12</v>
      </c>
      <c r="C33" s="1">
        <v>1</v>
      </c>
      <c r="D33" s="1">
        <v>36</v>
      </c>
      <c r="E33" s="1">
        <v>170</v>
      </c>
      <c r="F33" s="1">
        <v>27</v>
      </c>
      <c r="G33" s="1">
        <v>35</v>
      </c>
      <c r="H33" s="2" t="s">
        <v>103</v>
      </c>
      <c r="I33" s="1">
        <v>7.0951</v>
      </c>
      <c r="J33" s="1">
        <v>8.8676</v>
      </c>
      <c r="K33" s="1">
        <v>7.632</v>
      </c>
      <c r="L33" s="1">
        <f t="shared" si="17"/>
        <v>69.70944992947817</v>
      </c>
      <c r="N33" s="1">
        <v>12.34</v>
      </c>
      <c r="O33" s="1">
        <f t="shared" si="1"/>
        <v>14.112499999999999</v>
      </c>
      <c r="P33" s="21">
        <f t="shared" si="2"/>
        <v>18343.949044585985</v>
      </c>
      <c r="Q33" s="21">
        <f t="shared" si="3"/>
        <v>86624.20382165603</v>
      </c>
      <c r="R33" s="21">
        <f t="shared" si="4"/>
        <v>13757.961783439488</v>
      </c>
      <c r="S33" s="21">
        <f t="shared" si="5"/>
        <v>17834.394904458597</v>
      </c>
      <c r="T33" s="21">
        <f t="shared" si="6"/>
        <v>136560.5095541401</v>
      </c>
      <c r="U33" s="24">
        <f t="shared" si="7"/>
        <v>2.550930026572188</v>
      </c>
      <c r="V33" s="24">
        <f t="shared" si="8"/>
        <v>12.04605845881311</v>
      </c>
      <c r="W33" s="24">
        <f t="shared" si="9"/>
        <v>1.9131975199291409</v>
      </c>
      <c r="X33" s="24">
        <f t="shared" si="10"/>
        <v>2.4800708591674048</v>
      </c>
      <c r="Y33" s="24">
        <f t="shared" si="11"/>
        <v>18.990256864481847</v>
      </c>
      <c r="Z33" s="24">
        <f t="shared" si="12"/>
        <v>3.659374775088379</v>
      </c>
      <c r="AA33" s="24">
        <f t="shared" si="13"/>
        <v>17.28038088236179</v>
      </c>
      <c r="AB33" s="24">
        <f t="shared" si="14"/>
        <v>2.744531081316284</v>
      </c>
      <c r="AC33" s="24">
        <f t="shared" si="15"/>
        <v>3.5577254757803685</v>
      </c>
      <c r="AD33" s="24">
        <f t="shared" si="16"/>
        <v>27.242012214546826</v>
      </c>
    </row>
    <row r="34" spans="1:30" ht="12.75">
      <c r="A34" s="1">
        <v>4</v>
      </c>
      <c r="B34" s="1" t="s">
        <v>12</v>
      </c>
      <c r="C34" s="1">
        <v>2</v>
      </c>
      <c r="D34" s="1">
        <v>27</v>
      </c>
      <c r="E34" s="1">
        <v>120</v>
      </c>
      <c r="F34" s="1">
        <v>10</v>
      </c>
      <c r="G34" s="1">
        <v>12</v>
      </c>
      <c r="H34" s="2" t="s">
        <v>118</v>
      </c>
      <c r="I34" s="1">
        <v>8.0575</v>
      </c>
      <c r="J34" s="1">
        <v>9.7814</v>
      </c>
      <c r="K34" s="1">
        <v>8.9964</v>
      </c>
      <c r="L34" s="1">
        <f t="shared" si="17"/>
        <v>45.53628400719299</v>
      </c>
      <c r="N34" s="1">
        <v>12.12</v>
      </c>
      <c r="O34" s="1">
        <f t="shared" si="1"/>
        <v>13.8439</v>
      </c>
      <c r="P34" s="21">
        <f t="shared" si="2"/>
        <v>13757.961783439488</v>
      </c>
      <c r="Q34" s="21">
        <f t="shared" si="3"/>
        <v>61146.49681528661</v>
      </c>
      <c r="R34" s="21">
        <f t="shared" si="4"/>
        <v>5095.541401273885</v>
      </c>
      <c r="S34" s="21">
        <f t="shared" si="5"/>
        <v>6114.649681528662</v>
      </c>
      <c r="T34" s="21">
        <f t="shared" si="6"/>
        <v>86114.64968152867</v>
      </c>
      <c r="U34" s="24">
        <f t="shared" si="7"/>
        <v>1.950317468343458</v>
      </c>
      <c r="V34" s="24">
        <f t="shared" si="8"/>
        <v>8.668077637082037</v>
      </c>
      <c r="W34" s="24">
        <f t="shared" si="9"/>
        <v>0.7223398030901697</v>
      </c>
      <c r="X34" s="24">
        <f t="shared" si="10"/>
        <v>0.8668077637082037</v>
      </c>
      <c r="Y34" s="24">
        <f t="shared" si="11"/>
        <v>12.20754267222387</v>
      </c>
      <c r="Z34" s="24">
        <f t="shared" si="12"/>
        <v>4.28299653971629</v>
      </c>
      <c r="AA34" s="24">
        <f t="shared" si="13"/>
        <v>19.035540176516843</v>
      </c>
      <c r="AB34" s="24">
        <f t="shared" si="14"/>
        <v>1.586295014709737</v>
      </c>
      <c r="AC34" s="24">
        <f t="shared" si="15"/>
        <v>1.9035540176516845</v>
      </c>
      <c r="AD34" s="24">
        <f t="shared" si="16"/>
        <v>26.808385748594556</v>
      </c>
    </row>
    <row r="35" spans="1:30" ht="12.75">
      <c r="A35" s="1">
        <v>5</v>
      </c>
      <c r="B35" s="1" t="s">
        <v>9</v>
      </c>
      <c r="C35" s="1">
        <v>1</v>
      </c>
      <c r="D35" s="1">
        <v>68</v>
      </c>
      <c r="E35" s="1">
        <v>187</v>
      </c>
      <c r="F35" s="1">
        <v>36</v>
      </c>
      <c r="G35" s="1">
        <v>55</v>
      </c>
      <c r="H35" s="2" t="s">
        <v>102</v>
      </c>
      <c r="I35" s="1">
        <v>7.7305</v>
      </c>
      <c r="J35" s="1">
        <v>8.9803</v>
      </c>
      <c r="K35" s="1">
        <v>7.9151</v>
      </c>
      <c r="L35" s="1">
        <f t="shared" si="17"/>
        <v>85.22963674187872</v>
      </c>
      <c r="N35" s="1">
        <v>9.53</v>
      </c>
      <c r="O35" s="1">
        <f t="shared" si="1"/>
        <v>10.779799999999998</v>
      </c>
      <c r="P35" s="21">
        <f t="shared" si="2"/>
        <v>34649.68152866242</v>
      </c>
      <c r="Q35" s="21">
        <f t="shared" si="3"/>
        <v>95286.62420382164</v>
      </c>
      <c r="R35" s="21">
        <f t="shared" si="4"/>
        <v>18343.949044585985</v>
      </c>
      <c r="S35" s="21">
        <f t="shared" si="5"/>
        <v>28025.477707006365</v>
      </c>
      <c r="T35" s="21">
        <f t="shared" si="6"/>
        <v>176305.7324840764</v>
      </c>
      <c r="U35" s="24">
        <f t="shared" si="7"/>
        <v>6.308094769847308</v>
      </c>
      <c r="V35" s="24">
        <f t="shared" si="8"/>
        <v>17.347260617080096</v>
      </c>
      <c r="W35" s="24">
        <f t="shared" si="9"/>
        <v>3.33957958403681</v>
      </c>
      <c r="X35" s="24">
        <f t="shared" si="10"/>
        <v>5.102135475611793</v>
      </c>
      <c r="Y35" s="24">
        <f t="shared" si="11"/>
        <v>32.097070446576005</v>
      </c>
      <c r="Z35" s="24">
        <f t="shared" si="12"/>
        <v>7.401292567926364</v>
      </c>
      <c r="AA35" s="24">
        <f t="shared" si="13"/>
        <v>20.3535545617975</v>
      </c>
      <c r="AB35" s="24">
        <f t="shared" si="14"/>
        <v>3.918331359490428</v>
      </c>
      <c r="AC35" s="24">
        <f t="shared" si="15"/>
        <v>5.986339576999265</v>
      </c>
      <c r="AD35" s="24">
        <f t="shared" si="16"/>
        <v>37.65951806621356</v>
      </c>
    </row>
    <row r="36" spans="1:30" ht="12.75">
      <c r="A36" s="1">
        <v>5</v>
      </c>
      <c r="B36" s="1" t="s">
        <v>9</v>
      </c>
      <c r="C36" s="1">
        <v>2</v>
      </c>
      <c r="D36" s="1">
        <v>52</v>
      </c>
      <c r="E36" s="1">
        <v>270</v>
      </c>
      <c r="F36" s="1">
        <v>35</v>
      </c>
      <c r="G36" s="1">
        <v>55</v>
      </c>
      <c r="H36" s="2" t="s">
        <v>89</v>
      </c>
      <c r="I36" s="1">
        <v>8.73</v>
      </c>
      <c r="J36" s="1">
        <v>10.1733</v>
      </c>
      <c r="K36" s="1">
        <v>9.3674</v>
      </c>
      <c r="L36" s="1">
        <f t="shared" si="17"/>
        <v>55.8373172590591</v>
      </c>
      <c r="N36" s="1">
        <v>10.86</v>
      </c>
      <c r="O36" s="1">
        <f t="shared" si="1"/>
        <v>12.303299999999998</v>
      </c>
      <c r="P36" s="21">
        <f t="shared" si="2"/>
        <v>26496.8152866242</v>
      </c>
      <c r="Q36" s="21">
        <f t="shared" si="3"/>
        <v>137579.61783439488</v>
      </c>
      <c r="R36" s="21">
        <f t="shared" si="4"/>
        <v>17834.394904458597</v>
      </c>
      <c r="S36" s="21">
        <f t="shared" si="5"/>
        <v>28025.477707006365</v>
      </c>
      <c r="T36" s="21">
        <f t="shared" si="6"/>
        <v>209936.30573248406</v>
      </c>
      <c r="U36" s="24">
        <f t="shared" si="7"/>
        <v>4.226508335162111</v>
      </c>
      <c r="V36" s="24">
        <f t="shared" si="8"/>
        <v>21.94533174026481</v>
      </c>
      <c r="W36" s="24">
        <f t="shared" si="9"/>
        <v>2.844765225589883</v>
      </c>
      <c r="X36" s="24">
        <f t="shared" si="10"/>
        <v>4.470345354498387</v>
      </c>
      <c r="Y36" s="24">
        <f t="shared" si="11"/>
        <v>33.48695065551519</v>
      </c>
      <c r="Z36" s="24">
        <f t="shared" si="12"/>
        <v>7.569325574065612</v>
      </c>
      <c r="AA36" s="24">
        <f t="shared" si="13"/>
        <v>39.30226740380222</v>
      </c>
      <c r="AB36" s="24">
        <f t="shared" si="14"/>
        <v>5.094738367159547</v>
      </c>
      <c r="AC36" s="24">
        <f t="shared" si="15"/>
        <v>8.006017434107859</v>
      </c>
      <c r="AD36" s="24">
        <f t="shared" si="16"/>
        <v>59.972348779135245</v>
      </c>
    </row>
    <row r="37" spans="1:30" ht="12.75">
      <c r="A37" s="1">
        <v>5</v>
      </c>
      <c r="B37" s="1" t="s">
        <v>10</v>
      </c>
      <c r="C37" s="1">
        <v>1</v>
      </c>
      <c r="D37" s="1">
        <v>34</v>
      </c>
      <c r="E37" s="1">
        <v>77</v>
      </c>
      <c r="F37" s="1">
        <v>11</v>
      </c>
      <c r="G37" s="1">
        <v>19</v>
      </c>
      <c r="H37" s="2" t="s">
        <v>104</v>
      </c>
      <c r="I37" s="1">
        <v>8.5585</v>
      </c>
      <c r="J37" s="1">
        <v>11.0676</v>
      </c>
      <c r="K37" s="1">
        <v>10.3339</v>
      </c>
      <c r="L37" s="1">
        <f t="shared" si="17"/>
        <v>29.241560718982925</v>
      </c>
      <c r="N37" s="1">
        <v>12.54</v>
      </c>
      <c r="O37" s="1">
        <f t="shared" si="1"/>
        <v>15.0491</v>
      </c>
      <c r="P37" s="21">
        <f t="shared" si="2"/>
        <v>17324.84076433121</v>
      </c>
      <c r="Q37" s="21">
        <f t="shared" si="3"/>
        <v>39235.668789808915</v>
      </c>
      <c r="R37" s="21">
        <f t="shared" si="4"/>
        <v>5605.095541401273</v>
      </c>
      <c r="S37" s="21">
        <f t="shared" si="5"/>
        <v>9681.52866242038</v>
      </c>
      <c r="T37" s="21">
        <f t="shared" si="6"/>
        <v>71847.13375796177</v>
      </c>
      <c r="U37" s="24">
        <f t="shared" si="7"/>
        <v>2.2592713185506113</v>
      </c>
      <c r="V37" s="24">
        <f t="shared" si="8"/>
        <v>5.1165850449528545</v>
      </c>
      <c r="W37" s="24">
        <f t="shared" si="9"/>
        <v>0.7309407207075507</v>
      </c>
      <c r="X37" s="24">
        <f t="shared" si="10"/>
        <v>1.2625339721312239</v>
      </c>
      <c r="Y37" s="24">
        <f t="shared" si="11"/>
        <v>9.36933105634224</v>
      </c>
      <c r="Z37" s="24">
        <f t="shared" si="12"/>
        <v>7.726233699571124</v>
      </c>
      <c r="AA37" s="24">
        <f t="shared" si="13"/>
        <v>17.497646907852253</v>
      </c>
      <c r="AB37" s="24">
        <f t="shared" si="14"/>
        <v>2.499663843978893</v>
      </c>
      <c r="AC37" s="24">
        <f t="shared" si="15"/>
        <v>4.317601185054452</v>
      </c>
      <c r="AD37" s="24">
        <f t="shared" si="16"/>
        <v>32.041145636456726</v>
      </c>
    </row>
    <row r="38" spans="1:30" ht="12.75">
      <c r="A38" s="1">
        <v>5</v>
      </c>
      <c r="B38" s="1" t="s">
        <v>10</v>
      </c>
      <c r="C38" s="1">
        <v>2</v>
      </c>
      <c r="D38" s="1">
        <v>15</v>
      </c>
      <c r="E38" s="1">
        <v>20</v>
      </c>
      <c r="F38" s="1">
        <v>2</v>
      </c>
      <c r="G38" s="1">
        <v>21</v>
      </c>
      <c r="H38" s="2" t="s">
        <v>90</v>
      </c>
      <c r="I38" s="1">
        <v>7.5224</v>
      </c>
      <c r="J38" s="1">
        <v>8.8275</v>
      </c>
      <c r="K38" s="1">
        <v>7.7606</v>
      </c>
      <c r="L38" s="1">
        <f t="shared" si="17"/>
        <v>81.74852501724007</v>
      </c>
      <c r="N38" s="1">
        <v>11.27</v>
      </c>
      <c r="O38" s="1">
        <f t="shared" si="1"/>
        <v>12.575099999999999</v>
      </c>
      <c r="P38" s="21">
        <f t="shared" si="2"/>
        <v>7643.312101910827</v>
      </c>
      <c r="Q38" s="21">
        <f t="shared" si="3"/>
        <v>10191.08280254777</v>
      </c>
      <c r="R38" s="21">
        <f t="shared" si="4"/>
        <v>1019.1082802547769</v>
      </c>
      <c r="S38" s="21">
        <f t="shared" si="5"/>
        <v>10700.636942675157</v>
      </c>
      <c r="T38" s="21">
        <f t="shared" si="6"/>
        <v>29554.140127388528</v>
      </c>
      <c r="U38" s="24">
        <f t="shared" si="7"/>
        <v>1.1928334565927905</v>
      </c>
      <c r="V38" s="24">
        <f t="shared" si="8"/>
        <v>1.5904446087903874</v>
      </c>
      <c r="W38" s="24">
        <f t="shared" si="9"/>
        <v>0.15904446087903876</v>
      </c>
      <c r="X38" s="24">
        <f t="shared" si="10"/>
        <v>1.6699668392299067</v>
      </c>
      <c r="Y38" s="24">
        <f t="shared" si="11"/>
        <v>4.612289365492123</v>
      </c>
      <c r="Z38" s="24">
        <f t="shared" si="12"/>
        <v>1.459149821163418</v>
      </c>
      <c r="AA38" s="24">
        <f t="shared" si="13"/>
        <v>1.9455330948845573</v>
      </c>
      <c r="AB38" s="24">
        <f t="shared" si="14"/>
        <v>0.19455330948845573</v>
      </c>
      <c r="AC38" s="24">
        <f t="shared" si="15"/>
        <v>2.0428097496287854</v>
      </c>
      <c r="AD38" s="24">
        <f t="shared" si="16"/>
        <v>5.6420459751652166</v>
      </c>
    </row>
    <row r="39" spans="1:30" ht="12.75">
      <c r="A39" s="1">
        <v>5</v>
      </c>
      <c r="B39" s="1" t="s">
        <v>11</v>
      </c>
      <c r="C39" s="1">
        <v>1</v>
      </c>
      <c r="D39" s="1">
        <v>46</v>
      </c>
      <c r="E39" s="1">
        <v>175</v>
      </c>
      <c r="F39" s="1">
        <v>31</v>
      </c>
      <c r="G39" s="1">
        <v>73</v>
      </c>
      <c r="H39" s="2" t="s">
        <v>105</v>
      </c>
      <c r="I39" s="1">
        <v>9.0683</v>
      </c>
      <c r="J39" s="1">
        <v>9.9936</v>
      </c>
      <c r="K39" s="1">
        <v>9.1625</v>
      </c>
      <c r="L39" s="1">
        <f t="shared" si="17"/>
        <v>89.81951799416417</v>
      </c>
      <c r="N39" s="1">
        <v>7.22</v>
      </c>
      <c r="O39" s="1">
        <f t="shared" si="1"/>
        <v>8.145299999999999</v>
      </c>
      <c r="P39" s="21">
        <f t="shared" si="2"/>
        <v>23439.49044585987</v>
      </c>
      <c r="Q39" s="21">
        <f t="shared" si="3"/>
        <v>89171.97452229298</v>
      </c>
      <c r="R39" s="21">
        <f t="shared" si="4"/>
        <v>15796.178343949043</v>
      </c>
      <c r="S39" s="21">
        <f t="shared" si="5"/>
        <v>37197.45222929936</v>
      </c>
      <c r="T39" s="21">
        <f t="shared" si="6"/>
        <v>165605.09554140124</v>
      </c>
      <c r="U39" s="24">
        <f t="shared" si="7"/>
        <v>5.6474285784440115</v>
      </c>
      <c r="V39" s="24">
        <f t="shared" si="8"/>
        <v>21.484782635384825</v>
      </c>
      <c r="W39" s="24">
        <f t="shared" si="9"/>
        <v>3.805875781125312</v>
      </c>
      <c r="X39" s="24">
        <f t="shared" si="10"/>
        <v>8.96222361361767</v>
      </c>
      <c r="Y39" s="24">
        <f t="shared" si="11"/>
        <v>39.900310608571814</v>
      </c>
      <c r="Z39" s="24">
        <f t="shared" si="12"/>
        <v>6.287529375086315</v>
      </c>
      <c r="AA39" s="24">
        <f t="shared" si="13"/>
        <v>23.919948709567503</v>
      </c>
      <c r="AB39" s="24">
        <f t="shared" si="14"/>
        <v>4.237248057123386</v>
      </c>
      <c r="AC39" s="24">
        <f t="shared" si="15"/>
        <v>9.978035747419588</v>
      </c>
      <c r="AD39" s="24">
        <f t="shared" si="16"/>
        <v>44.42276188919679</v>
      </c>
    </row>
    <row r="40" spans="1:30" ht="12.75">
      <c r="A40" s="1">
        <v>5</v>
      </c>
      <c r="B40" s="1" t="s">
        <v>11</v>
      </c>
      <c r="C40" s="1">
        <v>2</v>
      </c>
      <c r="D40" s="1">
        <v>16</v>
      </c>
      <c r="E40" s="1">
        <v>75</v>
      </c>
      <c r="F40" s="1">
        <v>15</v>
      </c>
      <c r="G40" s="1">
        <v>13</v>
      </c>
      <c r="H40" s="2" t="s">
        <v>91</v>
      </c>
      <c r="I40" s="1">
        <v>7.5651</v>
      </c>
      <c r="J40" s="1">
        <v>8.806</v>
      </c>
      <c r="K40" s="1">
        <v>7.8209</v>
      </c>
      <c r="L40" s="1">
        <f t="shared" si="17"/>
        <v>79.38592956724958</v>
      </c>
      <c r="N40" s="1">
        <v>9.48</v>
      </c>
      <c r="O40" s="1">
        <f t="shared" si="1"/>
        <v>10.7209</v>
      </c>
      <c r="P40" s="21">
        <f t="shared" si="2"/>
        <v>8152.866242038215</v>
      </c>
      <c r="Q40" s="21">
        <f t="shared" si="3"/>
        <v>38216.56050955413</v>
      </c>
      <c r="R40" s="21">
        <f t="shared" si="4"/>
        <v>7643.312101910827</v>
      </c>
      <c r="S40" s="21">
        <f t="shared" si="5"/>
        <v>6624.20382165605</v>
      </c>
      <c r="T40" s="21">
        <f t="shared" si="6"/>
        <v>60636.942675159225</v>
      </c>
      <c r="U40" s="24">
        <f t="shared" si="7"/>
        <v>1.492412017647772</v>
      </c>
      <c r="V40" s="24">
        <f t="shared" si="8"/>
        <v>6.995681332723931</v>
      </c>
      <c r="W40" s="24">
        <f t="shared" si="9"/>
        <v>1.3991362665447864</v>
      </c>
      <c r="X40" s="24">
        <f t="shared" si="10"/>
        <v>1.2125847643388148</v>
      </c>
      <c r="Y40" s="24">
        <f t="shared" si="11"/>
        <v>11.099814381255303</v>
      </c>
      <c r="Z40" s="24">
        <f t="shared" si="12"/>
        <v>1.87994525702885</v>
      </c>
      <c r="AA40" s="24">
        <f t="shared" si="13"/>
        <v>8.812243392322735</v>
      </c>
      <c r="AB40" s="24">
        <f t="shared" si="14"/>
        <v>1.7624486784645468</v>
      </c>
      <c r="AC40" s="24">
        <f t="shared" si="15"/>
        <v>1.5274555213359406</v>
      </c>
      <c r="AD40" s="24">
        <f t="shared" si="16"/>
        <v>13.982092849152075</v>
      </c>
    </row>
    <row r="41" spans="1:30" ht="12.75">
      <c r="A41" s="1">
        <v>5</v>
      </c>
      <c r="B41" s="1" t="s">
        <v>12</v>
      </c>
      <c r="C41" s="1">
        <v>1</v>
      </c>
      <c r="D41" s="1">
        <v>27</v>
      </c>
      <c r="E41" s="1">
        <v>38</v>
      </c>
      <c r="F41" s="1">
        <v>5</v>
      </c>
      <c r="G41" s="1">
        <v>53</v>
      </c>
      <c r="H41" s="2" t="s">
        <v>106</v>
      </c>
      <c r="I41" s="1">
        <v>8.7206</v>
      </c>
      <c r="J41" s="1">
        <v>9.9926</v>
      </c>
      <c r="K41" s="1">
        <v>8.8935</v>
      </c>
      <c r="L41" s="1">
        <f t="shared" si="17"/>
        <v>86.4072327044025</v>
      </c>
      <c r="N41" s="1">
        <v>11.47</v>
      </c>
      <c r="O41" s="1">
        <f t="shared" si="1"/>
        <v>12.742</v>
      </c>
      <c r="P41" s="21">
        <f t="shared" si="2"/>
        <v>13757.961783439488</v>
      </c>
      <c r="Q41" s="21">
        <f t="shared" si="3"/>
        <v>19363.05732484076</v>
      </c>
      <c r="R41" s="21">
        <f t="shared" si="4"/>
        <v>2547.7707006369424</v>
      </c>
      <c r="S41" s="21">
        <f t="shared" si="5"/>
        <v>27006.36942675159</v>
      </c>
      <c r="T41" s="21">
        <f t="shared" si="6"/>
        <v>62675.15923566878</v>
      </c>
      <c r="U41" s="24">
        <f t="shared" si="7"/>
        <v>2.118976612776644</v>
      </c>
      <c r="V41" s="24">
        <f t="shared" si="8"/>
        <v>2.9822633809449064</v>
      </c>
      <c r="W41" s="24">
        <f t="shared" si="9"/>
        <v>0.39240307644011924</v>
      </c>
      <c r="X41" s="24">
        <f t="shared" si="10"/>
        <v>4.159472610265264</v>
      </c>
      <c r="Y41" s="24">
        <f t="shared" si="11"/>
        <v>9.653115680426934</v>
      </c>
      <c r="Z41" s="24">
        <f t="shared" si="12"/>
        <v>2.452313939998082</v>
      </c>
      <c r="AA41" s="24">
        <f t="shared" si="13"/>
        <v>3.451404804441745</v>
      </c>
      <c r="AB41" s="24">
        <f t="shared" si="14"/>
        <v>0.4541322111107559</v>
      </c>
      <c r="AC41" s="24">
        <f t="shared" si="15"/>
        <v>4.813801437774012</v>
      </c>
      <c r="AD41" s="24">
        <f t="shared" si="16"/>
        <v>11.171652393324596</v>
      </c>
    </row>
    <row r="42" spans="1:30" ht="12.75">
      <c r="A42" s="1">
        <v>5</v>
      </c>
      <c r="B42" s="1" t="s">
        <v>12</v>
      </c>
      <c r="C42" s="1">
        <v>2</v>
      </c>
      <c r="D42" s="1">
        <v>58</v>
      </c>
      <c r="E42" s="1">
        <v>121</v>
      </c>
      <c r="F42" s="1">
        <v>12</v>
      </c>
      <c r="G42" s="1">
        <v>10</v>
      </c>
      <c r="H42" s="2" t="s">
        <v>86</v>
      </c>
      <c r="I42" s="1">
        <v>7.6328</v>
      </c>
      <c r="J42" s="1">
        <v>8.9834</v>
      </c>
      <c r="K42" s="1">
        <v>8.0857</v>
      </c>
      <c r="L42" s="1">
        <f t="shared" si="17"/>
        <v>66.46675551606697</v>
      </c>
      <c r="N42" s="1">
        <v>12.65</v>
      </c>
      <c r="O42" s="1">
        <f t="shared" si="1"/>
        <v>14.0006</v>
      </c>
      <c r="P42" s="21">
        <f t="shared" si="2"/>
        <v>29554.14012738853</v>
      </c>
      <c r="Q42" s="21">
        <f t="shared" si="3"/>
        <v>61656.050955414</v>
      </c>
      <c r="R42" s="21">
        <f t="shared" si="4"/>
        <v>6114.649681528662</v>
      </c>
      <c r="S42" s="21">
        <f t="shared" si="5"/>
        <v>5095.541401273885</v>
      </c>
      <c r="T42" s="21">
        <f t="shared" si="6"/>
        <v>102420.38216560509</v>
      </c>
      <c r="U42" s="24">
        <f t="shared" si="7"/>
        <v>4.142679599445738</v>
      </c>
      <c r="V42" s="24">
        <f t="shared" si="8"/>
        <v>8.642486750567832</v>
      </c>
      <c r="W42" s="24">
        <f t="shared" si="9"/>
        <v>0.8571061240232561</v>
      </c>
      <c r="X42" s="24">
        <f t="shared" si="10"/>
        <v>0.7142551033527135</v>
      </c>
      <c r="Y42" s="24">
        <f t="shared" si="11"/>
        <v>14.356527577389537</v>
      </c>
      <c r="Z42" s="24">
        <f t="shared" si="12"/>
        <v>6.232709220242186</v>
      </c>
      <c r="AA42" s="24">
        <f t="shared" si="13"/>
        <v>13.002720959470768</v>
      </c>
      <c r="AB42" s="24">
        <f t="shared" si="14"/>
        <v>1.2895260455673487</v>
      </c>
      <c r="AC42" s="24">
        <f t="shared" si="15"/>
        <v>1.0746050379727907</v>
      </c>
      <c r="AD42" s="24">
        <f t="shared" si="16"/>
        <v>21.599561263253094</v>
      </c>
    </row>
    <row r="45" ht="12.75">
      <c r="L45" s="1">
        <f>AVERAGE(L3:L10)</f>
        <v>58.1470002711895</v>
      </c>
    </row>
    <row r="46" ht="12.75">
      <c r="L46" s="1">
        <f>AVERAGE(L11:L18)</f>
        <v>62.945133885826905</v>
      </c>
    </row>
    <row r="47" ht="12.75">
      <c r="L47" s="1">
        <f>AVERAGE(L19:L26)</f>
        <v>49.81747318812154</v>
      </c>
    </row>
    <row r="48" ht="12.75">
      <c r="L48" s="1">
        <f>AVERAGE(L27:L34)</f>
        <v>53.89557218619765</v>
      </c>
    </row>
    <row r="49" ht="12.75">
      <c r="L49" s="1">
        <f>AVERAGE(L35:L42)</f>
        <v>71.76705943988051</v>
      </c>
    </row>
  </sheetData>
  <mergeCells count="4">
    <mergeCell ref="A1:H1"/>
    <mergeCell ref="I1:I2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2"/>
  <sheetViews>
    <sheetView workbookViewId="0" topLeftCell="A1">
      <pane xSplit="3" ySplit="2" topLeftCell="I1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41" sqref="L41"/>
    </sheetView>
  </sheetViews>
  <sheetFormatPr defaultColWidth="9.140625" defaultRowHeight="12.75"/>
  <cols>
    <col min="1" max="2" width="9.140625" style="1" customWidth="1"/>
    <col min="3" max="3" width="5.140625" style="1" customWidth="1"/>
    <col min="4" max="7" width="9.140625" style="1" customWidth="1"/>
    <col min="8" max="8" width="21.57421875" style="1" customWidth="1"/>
    <col min="9" max="16384" width="9.140625" style="1" customWidth="1"/>
  </cols>
  <sheetData>
    <row r="1" spans="1:31" ht="12.75">
      <c r="A1" s="52" t="s">
        <v>183</v>
      </c>
      <c r="B1" s="52"/>
      <c r="C1" s="52"/>
      <c r="D1" s="52"/>
      <c r="E1" s="52"/>
      <c r="F1" s="52"/>
      <c r="G1" s="52"/>
      <c r="H1" s="52"/>
      <c r="I1" s="53" t="s">
        <v>115</v>
      </c>
      <c r="J1" s="53" t="s">
        <v>116</v>
      </c>
      <c r="K1" s="53" t="s">
        <v>117</v>
      </c>
      <c r="M1" s="13" t="s">
        <v>187</v>
      </c>
      <c r="N1" s="13" t="s">
        <v>185</v>
      </c>
      <c r="O1" s="13" t="s">
        <v>188</v>
      </c>
      <c r="P1" s="19"/>
      <c r="Q1" s="19"/>
      <c r="R1" s="19"/>
      <c r="S1" s="19"/>
      <c r="T1" s="19"/>
      <c r="U1" s="22"/>
      <c r="V1" s="22"/>
      <c r="W1" s="22"/>
      <c r="X1" s="22"/>
      <c r="Y1" s="22"/>
      <c r="Z1" s="22"/>
      <c r="AA1" s="22"/>
      <c r="AB1" s="22"/>
      <c r="AC1" s="23"/>
      <c r="AD1" s="23"/>
      <c r="AE1" t="s">
        <v>190</v>
      </c>
    </row>
    <row r="2" spans="1:3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3"/>
      <c r="J2" s="53"/>
      <c r="K2" s="53"/>
      <c r="L2" s="1" t="s">
        <v>123</v>
      </c>
      <c r="M2" s="14" t="s">
        <v>184</v>
      </c>
      <c r="N2" s="14" t="s">
        <v>186</v>
      </c>
      <c r="O2" t="s">
        <v>189</v>
      </c>
      <c r="P2" s="20" t="s">
        <v>248</v>
      </c>
      <c r="Q2" s="20" t="s">
        <v>249</v>
      </c>
      <c r="R2" s="20" t="s">
        <v>250</v>
      </c>
      <c r="S2" s="20" t="s">
        <v>251</v>
      </c>
      <c r="T2" s="20" t="s">
        <v>252</v>
      </c>
      <c r="U2" s="23" t="s">
        <v>253</v>
      </c>
      <c r="V2" s="23" t="s">
        <v>254</v>
      </c>
      <c r="W2" s="23" t="s">
        <v>255</v>
      </c>
      <c r="X2" s="23" t="s">
        <v>256</v>
      </c>
      <c r="Y2" s="23" t="s">
        <v>257</v>
      </c>
      <c r="Z2" s="23" t="s">
        <v>258</v>
      </c>
      <c r="AA2" s="23" t="s">
        <v>259</v>
      </c>
      <c r="AB2" s="23" t="s">
        <v>260</v>
      </c>
      <c r="AC2" s="23" t="s">
        <v>261</v>
      </c>
      <c r="AD2" s="23" t="s">
        <v>262</v>
      </c>
      <c r="AE2"/>
    </row>
    <row r="3" spans="1:30" ht="12.75">
      <c r="A3" s="3">
        <v>1</v>
      </c>
      <c r="B3" s="3" t="s">
        <v>9</v>
      </c>
      <c r="C3" s="3">
        <v>1</v>
      </c>
      <c r="D3" s="3">
        <v>102</v>
      </c>
      <c r="E3" s="3">
        <v>222</v>
      </c>
      <c r="F3" s="3">
        <v>29</v>
      </c>
      <c r="G3" s="3">
        <v>62</v>
      </c>
      <c r="H3" s="4" t="s">
        <v>49</v>
      </c>
      <c r="I3" s="1">
        <v>7.1374</v>
      </c>
      <c r="J3" s="1">
        <v>8.3409</v>
      </c>
      <c r="K3" s="1">
        <v>7.6708</v>
      </c>
      <c r="L3" s="1">
        <f>100*(J3-K3)/(J3-I3)</f>
        <v>55.67926879933528</v>
      </c>
      <c r="N3" s="1">
        <v>10.88</v>
      </c>
      <c r="O3" s="1">
        <f>N3+(J3-I3)</f>
        <v>12.0835</v>
      </c>
      <c r="P3" s="21">
        <f>D3/((0.025*0.025)*3.14)</f>
        <v>51974.52229299362</v>
      </c>
      <c r="Q3" s="21">
        <f>E3/((0.025*0.025)*3.14)</f>
        <v>113121.01910828023</v>
      </c>
      <c r="R3" s="21">
        <f>F3/((0.025*0.025)*3.14)</f>
        <v>14777.070063694266</v>
      </c>
      <c r="S3" s="21">
        <f>G3/((0.025*0.025)*3.14)</f>
        <v>31592.356687898086</v>
      </c>
      <c r="T3" s="21">
        <f>SUM(P3:S3)</f>
        <v>211464.9681528662</v>
      </c>
      <c r="U3" s="24">
        <f>D3/$O3</f>
        <v>8.441262879132701</v>
      </c>
      <c r="V3" s="24">
        <f>E3/$O3</f>
        <v>18.372160383994704</v>
      </c>
      <c r="W3" s="24">
        <f>F3/$O3</f>
        <v>2.399966897008317</v>
      </c>
      <c r="X3" s="24">
        <f>G3/$O3</f>
        <v>5.130963710845367</v>
      </c>
      <c r="Y3" s="24">
        <f>SUM(U3:X3)</f>
        <v>34.34435387098109</v>
      </c>
      <c r="Z3" s="24">
        <f>D3/($O3*($L3/100))</f>
        <v>15.160513169730196</v>
      </c>
      <c r="AA3" s="24">
        <f>E3/($O3*($L3/100))</f>
        <v>32.996411016471605</v>
      </c>
      <c r="AB3" s="24">
        <f>F3/($O3*($L3/100))</f>
        <v>4.3103419796291735</v>
      </c>
      <c r="AC3" s="24">
        <f>G3/($O3*($L3/100))</f>
        <v>9.21521388748306</v>
      </c>
      <c r="AD3" s="24">
        <f>SUM(Z3:AC3)</f>
        <v>61.68248005331403</v>
      </c>
    </row>
    <row r="4" spans="1:30" ht="12.75">
      <c r="A4" s="26">
        <v>1</v>
      </c>
      <c r="B4" s="26" t="s">
        <v>9</v>
      </c>
      <c r="C4" s="26">
        <v>2</v>
      </c>
      <c r="D4" s="26">
        <v>87</v>
      </c>
      <c r="E4" s="26">
        <v>113</v>
      </c>
      <c r="F4" s="26">
        <v>20</v>
      </c>
      <c r="G4" s="26">
        <v>97</v>
      </c>
      <c r="H4" s="28" t="s">
        <v>166</v>
      </c>
      <c r="I4" s="1">
        <v>7.3539</v>
      </c>
      <c r="J4" s="1">
        <v>8.9449</v>
      </c>
      <c r="K4" s="1">
        <v>8.2144</v>
      </c>
      <c r="L4" s="1">
        <f>100*(J4-K4)/(J4-I4)</f>
        <v>45.91451917033318</v>
      </c>
      <c r="N4" s="1">
        <v>17.46</v>
      </c>
      <c r="O4" s="1">
        <f aca="true" t="shared" si="0" ref="O4:O42">N4+(J4-I4)</f>
        <v>19.051000000000002</v>
      </c>
      <c r="P4" s="21">
        <f aca="true" t="shared" si="1" ref="P4:S42">D4/((0.025*0.025)*3.14)</f>
        <v>44331.2101910828</v>
      </c>
      <c r="Q4" s="21">
        <f t="shared" si="1"/>
        <v>57579.6178343949</v>
      </c>
      <c r="R4" s="21">
        <f t="shared" si="1"/>
        <v>10191.08280254777</v>
      </c>
      <c r="S4" s="21">
        <f t="shared" si="1"/>
        <v>49426.75159235668</v>
      </c>
      <c r="T4" s="21">
        <f aca="true" t="shared" si="2" ref="T4:T42">SUM(P4:S4)</f>
        <v>161528.66242038214</v>
      </c>
      <c r="U4" s="24">
        <f aca="true" t="shared" si="3" ref="U4:X42">D4/$O4</f>
        <v>4.566689412629258</v>
      </c>
      <c r="V4" s="24">
        <f t="shared" si="3"/>
        <v>5.931447168127657</v>
      </c>
      <c r="W4" s="24">
        <f t="shared" si="3"/>
        <v>1.0498136580756914</v>
      </c>
      <c r="X4" s="24">
        <f t="shared" si="3"/>
        <v>5.091596241667103</v>
      </c>
      <c r="Y4" s="24">
        <f aca="true" t="shared" si="4" ref="Y4:Y42">SUM(U4:X4)</f>
        <v>16.63954648049971</v>
      </c>
      <c r="Z4" s="24">
        <f aca="true" t="shared" si="5" ref="Z4:AC42">D4/($O4*($L4/100))</f>
        <v>9.946068248450569</v>
      </c>
      <c r="AA4" s="24">
        <f t="shared" si="5"/>
        <v>12.918456460631198</v>
      </c>
      <c r="AB4" s="24">
        <f t="shared" si="5"/>
        <v>2.2864524709081766</v>
      </c>
      <c r="AC4" s="24">
        <f t="shared" si="5"/>
        <v>11.089294483904657</v>
      </c>
      <c r="AD4" s="24">
        <f aca="true" t="shared" si="6" ref="AD4:AD42">SUM(Z4:AC4)</f>
        <v>36.2402716638946</v>
      </c>
    </row>
    <row r="5" spans="1:31" ht="12.75">
      <c r="A5" s="3">
        <v>1</v>
      </c>
      <c r="B5" s="3" t="s">
        <v>10</v>
      </c>
      <c r="C5" s="3">
        <v>1</v>
      </c>
      <c r="D5" s="3">
        <v>75</v>
      </c>
      <c r="E5" s="3">
        <v>115</v>
      </c>
      <c r="F5" s="3">
        <v>18</v>
      </c>
      <c r="G5" s="3">
        <v>77</v>
      </c>
      <c r="H5" s="4" t="s">
        <v>50</v>
      </c>
      <c r="I5" s="1">
        <v>8.2045</v>
      </c>
      <c r="J5" s="1">
        <v>10.1463</v>
      </c>
      <c r="K5" s="1">
        <v>9.3853</v>
      </c>
      <c r="L5" s="1">
        <f>100*(J5-K5)/(J5-I5)</f>
        <v>39.19044185806978</v>
      </c>
      <c r="N5" s="1">
        <v>16.16</v>
      </c>
      <c r="O5" s="1">
        <f t="shared" si="0"/>
        <v>18.1018</v>
      </c>
      <c r="P5" s="21">
        <f t="shared" si="1"/>
        <v>38216.56050955413</v>
      </c>
      <c r="Q5" s="21">
        <f t="shared" si="1"/>
        <v>58598.726114649675</v>
      </c>
      <c r="R5" s="21">
        <f t="shared" si="1"/>
        <v>9171.974522292992</v>
      </c>
      <c r="S5" s="21">
        <f t="shared" si="1"/>
        <v>39235.668789808915</v>
      </c>
      <c r="T5" s="21">
        <f t="shared" si="2"/>
        <v>145222.92993630574</v>
      </c>
      <c r="U5" s="24">
        <f t="shared" si="3"/>
        <v>4.143234374482096</v>
      </c>
      <c r="V5" s="24">
        <f t="shared" si="3"/>
        <v>6.35295937420588</v>
      </c>
      <c r="W5" s="24">
        <f t="shared" si="3"/>
        <v>0.9943762498757029</v>
      </c>
      <c r="X5" s="24">
        <f t="shared" si="3"/>
        <v>4.253720624468285</v>
      </c>
      <c r="Y5" s="24">
        <f t="shared" si="4"/>
        <v>15.744290623031963</v>
      </c>
      <c r="Z5" s="24">
        <f t="shared" si="5"/>
        <v>10.572053230445919</v>
      </c>
      <c r="AA5" s="24">
        <f t="shared" si="5"/>
        <v>16.210481620017074</v>
      </c>
      <c r="AB5" s="24">
        <f t="shared" si="5"/>
        <v>2.5372927753070207</v>
      </c>
      <c r="AC5" s="24">
        <f t="shared" si="5"/>
        <v>10.853974649924476</v>
      </c>
      <c r="AD5" s="24">
        <f t="shared" si="6"/>
        <v>40.17380227569449</v>
      </c>
      <c r="AE5" s="12" t="s">
        <v>191</v>
      </c>
    </row>
    <row r="6" spans="1:30" ht="12.75">
      <c r="A6" s="26">
        <v>1</v>
      </c>
      <c r="B6" s="26" t="s">
        <v>10</v>
      </c>
      <c r="C6" s="26">
        <v>2</v>
      </c>
      <c r="D6" s="26">
        <v>77</v>
      </c>
      <c r="E6" s="26">
        <v>118</v>
      </c>
      <c r="F6" s="26">
        <v>12</v>
      </c>
      <c r="G6" s="26">
        <v>116</v>
      </c>
      <c r="H6" s="28" t="s">
        <v>167</v>
      </c>
      <c r="I6" s="1">
        <v>8.4878</v>
      </c>
      <c r="J6" s="1">
        <v>10.6144</v>
      </c>
      <c r="K6" s="1">
        <v>9.797</v>
      </c>
      <c r="L6" s="1">
        <f aca="true" t="shared" si="7" ref="L6:L42">100*(J6-K6)/(J6-I6)</f>
        <v>38.43694159691523</v>
      </c>
      <c r="N6" s="1">
        <v>17.18</v>
      </c>
      <c r="O6" s="1">
        <f t="shared" si="0"/>
        <v>19.3066</v>
      </c>
      <c r="P6" s="21">
        <f t="shared" si="1"/>
        <v>39235.668789808915</v>
      </c>
      <c r="Q6" s="21">
        <f t="shared" si="1"/>
        <v>60127.38853503184</v>
      </c>
      <c r="R6" s="21">
        <f t="shared" si="1"/>
        <v>6114.649681528662</v>
      </c>
      <c r="S6" s="21">
        <f t="shared" si="1"/>
        <v>59108.28025477706</v>
      </c>
      <c r="T6" s="21">
        <f t="shared" si="2"/>
        <v>164585.98726114648</v>
      </c>
      <c r="U6" s="24">
        <f t="shared" si="3"/>
        <v>3.988273440170719</v>
      </c>
      <c r="V6" s="24">
        <f t="shared" si="3"/>
        <v>6.111899557664219</v>
      </c>
      <c r="W6" s="24">
        <f t="shared" si="3"/>
        <v>0.6215491075590731</v>
      </c>
      <c r="X6" s="24">
        <f t="shared" si="3"/>
        <v>6.008308039737706</v>
      </c>
      <c r="Y6" s="24">
        <f t="shared" si="4"/>
        <v>16.730030145131717</v>
      </c>
      <c r="Z6" s="24">
        <f t="shared" si="5"/>
        <v>10.376146682000316</v>
      </c>
      <c r="AA6" s="24">
        <f t="shared" si="5"/>
        <v>15.9011079022862</v>
      </c>
      <c r="AB6" s="24">
        <f t="shared" si="5"/>
        <v>1.6170618205714777</v>
      </c>
      <c r="AC6" s="24">
        <f t="shared" si="5"/>
        <v>15.631597598857619</v>
      </c>
      <c r="AD6" s="24">
        <f t="shared" si="6"/>
        <v>43.52591400371561</v>
      </c>
    </row>
    <row r="7" spans="1:30" ht="12.75">
      <c r="A7" s="3">
        <v>1</v>
      </c>
      <c r="B7" s="3" t="s">
        <v>11</v>
      </c>
      <c r="C7" s="3">
        <v>1</v>
      </c>
      <c r="D7" s="3">
        <v>123</v>
      </c>
      <c r="E7" s="3">
        <v>150</v>
      </c>
      <c r="F7" s="3">
        <v>41</v>
      </c>
      <c r="G7" s="3">
        <v>72</v>
      </c>
      <c r="H7" s="4" t="s">
        <v>51</v>
      </c>
      <c r="I7" s="1">
        <v>7.4365</v>
      </c>
      <c r="J7" s="1">
        <v>9.0823</v>
      </c>
      <c r="K7" s="1">
        <v>8.2316</v>
      </c>
      <c r="L7" s="1">
        <f t="shared" si="7"/>
        <v>51.68914813464574</v>
      </c>
      <c r="N7" s="1">
        <v>10.24</v>
      </c>
      <c r="O7" s="1">
        <f t="shared" si="0"/>
        <v>11.8858</v>
      </c>
      <c r="P7" s="21">
        <f t="shared" si="1"/>
        <v>62675.15923566878</v>
      </c>
      <c r="Q7" s="21">
        <f t="shared" si="1"/>
        <v>76433.12101910826</v>
      </c>
      <c r="R7" s="21">
        <f t="shared" si="1"/>
        <v>20891.719745222927</v>
      </c>
      <c r="S7" s="21">
        <f t="shared" si="1"/>
        <v>36687.89808917197</v>
      </c>
      <c r="T7" s="21">
        <f t="shared" si="2"/>
        <v>196687.89808917194</v>
      </c>
      <c r="U7" s="24">
        <f t="shared" si="3"/>
        <v>10.348483063824059</v>
      </c>
      <c r="V7" s="24">
        <f t="shared" si="3"/>
        <v>12.620101297346414</v>
      </c>
      <c r="W7" s="24">
        <f t="shared" si="3"/>
        <v>3.44949435460802</v>
      </c>
      <c r="X7" s="24">
        <f t="shared" si="3"/>
        <v>6.057648622726279</v>
      </c>
      <c r="Y7" s="24">
        <f t="shared" si="4"/>
        <v>32.47572733850477</v>
      </c>
      <c r="Z7" s="24">
        <f t="shared" si="5"/>
        <v>20.020610587094914</v>
      </c>
      <c r="AA7" s="24">
        <f t="shared" si="5"/>
        <v>24.415378764749892</v>
      </c>
      <c r="AB7" s="24">
        <f t="shared" si="5"/>
        <v>6.673536862364971</v>
      </c>
      <c r="AC7" s="24">
        <f t="shared" si="5"/>
        <v>11.71938180707995</v>
      </c>
      <c r="AD7" s="24">
        <f t="shared" si="6"/>
        <v>62.82890802128973</v>
      </c>
    </row>
    <row r="8" spans="1:30" ht="12.75">
      <c r="A8" s="26">
        <v>1</v>
      </c>
      <c r="B8" s="26" t="s">
        <v>11</v>
      </c>
      <c r="C8" s="26">
        <v>2</v>
      </c>
      <c r="D8" s="26">
        <v>87</v>
      </c>
      <c r="E8" s="26">
        <v>180</v>
      </c>
      <c r="F8" s="26">
        <v>40</v>
      </c>
      <c r="G8" s="26">
        <v>51</v>
      </c>
      <c r="H8" s="28" t="s">
        <v>168</v>
      </c>
      <c r="I8" s="1">
        <v>9.8703</v>
      </c>
      <c r="J8" s="1">
        <v>11.5521</v>
      </c>
      <c r="K8" s="1">
        <v>10.4652</v>
      </c>
      <c r="L8" s="1">
        <f t="shared" si="7"/>
        <v>64.62718515875851</v>
      </c>
      <c r="N8" s="1">
        <v>10.96</v>
      </c>
      <c r="O8" s="1">
        <f t="shared" si="0"/>
        <v>12.6418</v>
      </c>
      <c r="P8" s="21">
        <f t="shared" si="1"/>
        <v>44331.2101910828</v>
      </c>
      <c r="Q8" s="21">
        <f t="shared" si="1"/>
        <v>91719.74522292992</v>
      </c>
      <c r="R8" s="21">
        <f t="shared" si="1"/>
        <v>20382.16560509554</v>
      </c>
      <c r="S8" s="21">
        <f t="shared" si="1"/>
        <v>25987.26114649681</v>
      </c>
      <c r="T8" s="21">
        <f t="shared" si="2"/>
        <v>182420.38216560506</v>
      </c>
      <c r="U8" s="24">
        <f t="shared" si="3"/>
        <v>6.881931370532677</v>
      </c>
      <c r="V8" s="24">
        <f t="shared" si="3"/>
        <v>14.238478697653814</v>
      </c>
      <c r="W8" s="24">
        <f t="shared" si="3"/>
        <v>3.1641063772564033</v>
      </c>
      <c r="X8" s="24">
        <f t="shared" si="3"/>
        <v>4.0342356310019145</v>
      </c>
      <c r="Y8" s="24">
        <f t="shared" si="4"/>
        <v>28.31875207644481</v>
      </c>
      <c r="Z8" s="24">
        <f t="shared" si="5"/>
        <v>10.648663335138329</v>
      </c>
      <c r="AA8" s="24">
        <f t="shared" si="5"/>
        <v>22.031717245113786</v>
      </c>
      <c r="AB8" s="24">
        <f t="shared" si="5"/>
        <v>4.895937165580841</v>
      </c>
      <c r="AC8" s="24">
        <f t="shared" si="5"/>
        <v>6.242319886115572</v>
      </c>
      <c r="AD8" s="24">
        <f t="shared" si="6"/>
        <v>43.818637631948526</v>
      </c>
    </row>
    <row r="9" spans="1:30" ht="12.75">
      <c r="A9" s="3">
        <v>1</v>
      </c>
      <c r="B9" s="3" t="s">
        <v>12</v>
      </c>
      <c r="C9" s="3">
        <v>1</v>
      </c>
      <c r="D9" s="3">
        <v>62</v>
      </c>
      <c r="E9" s="3">
        <v>66</v>
      </c>
      <c r="F9" s="3">
        <v>12</v>
      </c>
      <c r="G9" s="3">
        <v>52</v>
      </c>
      <c r="H9" s="4" t="s">
        <v>51</v>
      </c>
      <c r="I9" s="1">
        <v>9.2658</v>
      </c>
      <c r="J9" s="1">
        <v>11.5571</v>
      </c>
      <c r="K9" s="1">
        <v>10.6325</v>
      </c>
      <c r="L9" s="1">
        <f t="shared" si="7"/>
        <v>40.352638240300266</v>
      </c>
      <c r="N9" s="1">
        <v>26.59</v>
      </c>
      <c r="O9" s="1">
        <f t="shared" si="0"/>
        <v>28.8813</v>
      </c>
      <c r="P9" s="21">
        <f t="shared" si="1"/>
        <v>31592.356687898086</v>
      </c>
      <c r="Q9" s="21">
        <f t="shared" si="1"/>
        <v>33630.573248407636</v>
      </c>
      <c r="R9" s="21">
        <f t="shared" si="1"/>
        <v>6114.649681528662</v>
      </c>
      <c r="S9" s="21">
        <f t="shared" si="1"/>
        <v>26496.8152866242</v>
      </c>
      <c r="T9" s="21">
        <f t="shared" si="2"/>
        <v>97834.39490445859</v>
      </c>
      <c r="U9" s="24">
        <f t="shared" si="3"/>
        <v>2.146717772399442</v>
      </c>
      <c r="V9" s="24">
        <f t="shared" si="3"/>
        <v>2.285215693199406</v>
      </c>
      <c r="W9" s="24">
        <f t="shared" si="3"/>
        <v>0.415493762399892</v>
      </c>
      <c r="X9" s="24">
        <f t="shared" si="3"/>
        <v>1.800472970399532</v>
      </c>
      <c r="Y9" s="24">
        <f t="shared" si="4"/>
        <v>6.647900198398272</v>
      </c>
      <c r="Z9" s="24">
        <f t="shared" si="5"/>
        <v>5.319894475339435</v>
      </c>
      <c r="AA9" s="24">
        <f t="shared" si="5"/>
        <v>5.663113473748431</v>
      </c>
      <c r="AB9" s="24">
        <f t="shared" si="5"/>
        <v>1.0296569952269874</v>
      </c>
      <c r="AC9" s="24">
        <f t="shared" si="5"/>
        <v>4.461846979316945</v>
      </c>
      <c r="AD9" s="24">
        <f t="shared" si="6"/>
        <v>16.474511923631802</v>
      </c>
    </row>
    <row r="10" spans="1:30" ht="12.75">
      <c r="A10" s="26">
        <v>1</v>
      </c>
      <c r="B10" s="26" t="s">
        <v>12</v>
      </c>
      <c r="C10" s="26">
        <v>2</v>
      </c>
      <c r="D10" s="26">
        <v>59</v>
      </c>
      <c r="E10" s="26">
        <v>89</v>
      </c>
      <c r="F10" s="26">
        <v>20</v>
      </c>
      <c r="G10" s="26">
        <v>41</v>
      </c>
      <c r="H10" s="28" t="s">
        <v>169</v>
      </c>
      <c r="I10" s="1">
        <v>9.6481</v>
      </c>
      <c r="J10" s="1">
        <v>13.1859</v>
      </c>
      <c r="K10" s="1">
        <v>12.2598</v>
      </c>
      <c r="L10" s="1">
        <f t="shared" si="7"/>
        <v>26.177285318559548</v>
      </c>
      <c r="N10" s="1">
        <v>23.93</v>
      </c>
      <c r="O10" s="1">
        <f t="shared" si="0"/>
        <v>27.4678</v>
      </c>
      <c r="P10" s="21">
        <f t="shared" si="1"/>
        <v>30063.69426751592</v>
      </c>
      <c r="Q10" s="21">
        <f t="shared" si="1"/>
        <v>45350.318471337574</v>
      </c>
      <c r="R10" s="21">
        <f t="shared" si="1"/>
        <v>10191.08280254777</v>
      </c>
      <c r="S10" s="21">
        <f t="shared" si="1"/>
        <v>20891.719745222927</v>
      </c>
      <c r="T10" s="21">
        <f t="shared" si="2"/>
        <v>106496.81528662419</v>
      </c>
      <c r="U10" s="24">
        <f t="shared" si="3"/>
        <v>2.147969622612659</v>
      </c>
      <c r="V10" s="24">
        <f t="shared" si="3"/>
        <v>3.240157566314011</v>
      </c>
      <c r="W10" s="24">
        <f t="shared" si="3"/>
        <v>0.7281252958009015</v>
      </c>
      <c r="X10" s="24">
        <f t="shared" si="3"/>
        <v>1.4926568563918479</v>
      </c>
      <c r="Y10" s="24">
        <f t="shared" si="4"/>
        <v>7.6089093411194195</v>
      </c>
      <c r="Z10" s="24">
        <f t="shared" si="5"/>
        <v>8.205471256753125</v>
      </c>
      <c r="AA10" s="24">
        <f t="shared" si="5"/>
        <v>12.37774477713607</v>
      </c>
      <c r="AB10" s="24">
        <f t="shared" si="5"/>
        <v>2.7815156802552967</v>
      </c>
      <c r="AC10" s="24">
        <f t="shared" si="5"/>
        <v>5.7021071445233575</v>
      </c>
      <c r="AD10" s="24">
        <f t="shared" si="6"/>
        <v>29.066838858667847</v>
      </c>
    </row>
    <row r="11" spans="1:30" ht="12.75">
      <c r="A11" s="3">
        <v>2</v>
      </c>
      <c r="B11" s="3" t="s">
        <v>9</v>
      </c>
      <c r="C11" s="3">
        <v>1</v>
      </c>
      <c r="D11" s="3">
        <v>12</v>
      </c>
      <c r="E11" s="3">
        <v>23</v>
      </c>
      <c r="F11" s="3">
        <v>5</v>
      </c>
      <c r="G11" s="3">
        <v>23</v>
      </c>
      <c r="H11" s="4" t="s">
        <v>52</v>
      </c>
      <c r="I11" s="1">
        <v>6.931</v>
      </c>
      <c r="J11" s="1">
        <v>8.2376</v>
      </c>
      <c r="K11" s="1">
        <v>7.2103</v>
      </c>
      <c r="L11" s="1">
        <f t="shared" si="7"/>
        <v>78.62390938313179</v>
      </c>
      <c r="N11" s="1">
        <v>10.52</v>
      </c>
      <c r="O11" s="1">
        <f t="shared" si="0"/>
        <v>11.8266</v>
      </c>
      <c r="P11" s="21">
        <f t="shared" si="1"/>
        <v>6114.649681528662</v>
      </c>
      <c r="Q11" s="21">
        <f t="shared" si="1"/>
        <v>11719.745222929934</v>
      </c>
      <c r="R11" s="21">
        <f t="shared" si="1"/>
        <v>2547.7707006369424</v>
      </c>
      <c r="S11" s="21">
        <f t="shared" si="1"/>
        <v>11719.745222929934</v>
      </c>
      <c r="T11" s="21">
        <f t="shared" si="2"/>
        <v>32101.910828025473</v>
      </c>
      <c r="U11" s="24">
        <f t="shared" si="3"/>
        <v>1.014661863933844</v>
      </c>
      <c r="V11" s="24">
        <f t="shared" si="3"/>
        <v>1.944768572539868</v>
      </c>
      <c r="W11" s="24">
        <f t="shared" si="3"/>
        <v>0.4227757766391017</v>
      </c>
      <c r="X11" s="24">
        <f t="shared" si="3"/>
        <v>1.944768572539868</v>
      </c>
      <c r="Y11" s="24">
        <f t="shared" si="4"/>
        <v>5.3269747856526815</v>
      </c>
      <c r="Z11" s="24">
        <f t="shared" si="5"/>
        <v>1.2905258360906853</v>
      </c>
      <c r="AA11" s="24">
        <f t="shared" si="5"/>
        <v>2.4735078525071468</v>
      </c>
      <c r="AB11" s="24">
        <f t="shared" si="5"/>
        <v>0.5377190983711189</v>
      </c>
      <c r="AC11" s="24">
        <f t="shared" si="5"/>
        <v>2.4735078525071468</v>
      </c>
      <c r="AD11" s="24">
        <f t="shared" si="6"/>
        <v>6.775260639476098</v>
      </c>
    </row>
    <row r="12" spans="1:30" ht="12.75">
      <c r="A12" s="26">
        <v>2</v>
      </c>
      <c r="B12" s="26" t="s">
        <v>9</v>
      </c>
      <c r="C12" s="26">
        <v>2</v>
      </c>
      <c r="D12" s="26">
        <v>10</v>
      </c>
      <c r="E12" s="26">
        <v>30</v>
      </c>
      <c r="F12" s="26">
        <v>3</v>
      </c>
      <c r="G12" s="26">
        <v>13</v>
      </c>
      <c r="H12" s="28" t="s">
        <v>170</v>
      </c>
      <c r="I12" s="1">
        <v>6.6347</v>
      </c>
      <c r="J12" s="1">
        <v>8.9354</v>
      </c>
      <c r="K12" s="1">
        <v>7.8745</v>
      </c>
      <c r="L12" s="1">
        <f t="shared" si="7"/>
        <v>46.11205285347935</v>
      </c>
      <c r="N12" s="1">
        <v>17.93</v>
      </c>
      <c r="O12" s="1">
        <f t="shared" si="0"/>
        <v>20.2307</v>
      </c>
      <c r="P12" s="21">
        <f t="shared" si="1"/>
        <v>5095.541401273885</v>
      </c>
      <c r="Q12" s="21">
        <f t="shared" si="1"/>
        <v>15286.624203821653</v>
      </c>
      <c r="R12" s="21">
        <f t="shared" si="1"/>
        <v>1528.6624203821655</v>
      </c>
      <c r="S12" s="21">
        <f t="shared" si="1"/>
        <v>6624.20382165605</v>
      </c>
      <c r="T12" s="21">
        <f t="shared" si="2"/>
        <v>28535.031847133756</v>
      </c>
      <c r="U12" s="24">
        <f t="shared" si="3"/>
        <v>0.49429826946175864</v>
      </c>
      <c r="V12" s="24">
        <f t="shared" si="3"/>
        <v>1.482894808385276</v>
      </c>
      <c r="W12" s="24">
        <f t="shared" si="3"/>
        <v>0.14828948083852758</v>
      </c>
      <c r="X12" s="24">
        <f t="shared" si="3"/>
        <v>0.6425877503002863</v>
      </c>
      <c r="Y12" s="24">
        <f t="shared" si="4"/>
        <v>2.7680703089858483</v>
      </c>
      <c r="Z12" s="24">
        <f t="shared" si="5"/>
        <v>1.0719502578477413</v>
      </c>
      <c r="AA12" s="24">
        <f t="shared" si="5"/>
        <v>3.215850773543224</v>
      </c>
      <c r="AB12" s="24">
        <f t="shared" si="5"/>
        <v>0.3215850773543224</v>
      </c>
      <c r="AC12" s="24">
        <f t="shared" si="5"/>
        <v>1.3935353352020636</v>
      </c>
      <c r="AD12" s="24">
        <f t="shared" si="6"/>
        <v>6.0029214439473515</v>
      </c>
    </row>
    <row r="13" spans="1:30" ht="12.75">
      <c r="A13" s="3">
        <v>2</v>
      </c>
      <c r="B13" s="3" t="s">
        <v>10</v>
      </c>
      <c r="C13" s="3">
        <v>1</v>
      </c>
      <c r="D13" s="3">
        <v>99</v>
      </c>
      <c r="E13" s="3">
        <v>61</v>
      </c>
      <c r="F13" s="3">
        <v>17</v>
      </c>
      <c r="G13" s="3">
        <v>22</v>
      </c>
      <c r="H13" s="4" t="s">
        <v>53</v>
      </c>
      <c r="I13" s="1">
        <v>7.0186</v>
      </c>
      <c r="J13" s="1">
        <v>8.8406</v>
      </c>
      <c r="K13" s="1">
        <v>7.6443</v>
      </c>
      <c r="L13" s="1">
        <f t="shared" si="7"/>
        <v>65.65861690450055</v>
      </c>
      <c r="N13" s="1">
        <v>6.68</v>
      </c>
      <c r="O13" s="1">
        <f t="shared" si="0"/>
        <v>8.501999999999999</v>
      </c>
      <c r="P13" s="21">
        <f t="shared" si="1"/>
        <v>50445.85987261146</v>
      </c>
      <c r="Q13" s="21">
        <f t="shared" si="1"/>
        <v>31082.802547770698</v>
      </c>
      <c r="R13" s="21">
        <f t="shared" si="1"/>
        <v>8662.420382165605</v>
      </c>
      <c r="S13" s="21">
        <f t="shared" si="1"/>
        <v>11210.191082802547</v>
      </c>
      <c r="T13" s="21">
        <f t="shared" si="2"/>
        <v>101401.2738853503</v>
      </c>
      <c r="U13" s="24">
        <f t="shared" si="3"/>
        <v>11.644318983768526</v>
      </c>
      <c r="V13" s="24">
        <f t="shared" si="3"/>
        <v>7.1747824041402035</v>
      </c>
      <c r="W13" s="24">
        <f t="shared" si="3"/>
        <v>1.9995295224653025</v>
      </c>
      <c r="X13" s="24">
        <f t="shared" si="3"/>
        <v>2.5876264408374503</v>
      </c>
      <c r="Y13" s="24">
        <f t="shared" si="4"/>
        <v>23.406257351211483</v>
      </c>
      <c r="Z13" s="24">
        <f t="shared" si="5"/>
        <v>17.734639462029804</v>
      </c>
      <c r="AA13" s="24">
        <f t="shared" si="5"/>
        <v>10.92740411296786</v>
      </c>
      <c r="AB13" s="24">
        <f t="shared" si="5"/>
        <v>3.045342129843502</v>
      </c>
      <c r="AC13" s="24">
        <f t="shared" si="5"/>
        <v>3.9410309915621786</v>
      </c>
      <c r="AD13" s="24">
        <f t="shared" si="6"/>
        <v>35.648416696403345</v>
      </c>
    </row>
    <row r="14" spans="1:30" ht="12.75">
      <c r="A14" s="26">
        <v>2</v>
      </c>
      <c r="B14" s="26" t="s">
        <v>10</v>
      </c>
      <c r="C14" s="26">
        <v>2</v>
      </c>
      <c r="D14" s="26">
        <v>59</v>
      </c>
      <c r="E14" s="26">
        <v>103</v>
      </c>
      <c r="F14" s="26">
        <v>12</v>
      </c>
      <c r="G14" s="26">
        <v>26</v>
      </c>
      <c r="H14" s="28" t="s">
        <v>171</v>
      </c>
      <c r="I14" s="1">
        <v>6.7606</v>
      </c>
      <c r="J14" s="1">
        <v>8.1792</v>
      </c>
      <c r="K14" s="1">
        <v>7.3526</v>
      </c>
      <c r="L14" s="1">
        <f t="shared" si="7"/>
        <v>58.26871563513324</v>
      </c>
      <c r="N14" s="1">
        <v>10.38</v>
      </c>
      <c r="O14" s="1">
        <f t="shared" si="0"/>
        <v>11.7986</v>
      </c>
      <c r="P14" s="21">
        <f t="shared" si="1"/>
        <v>30063.69426751592</v>
      </c>
      <c r="Q14" s="21">
        <f t="shared" si="1"/>
        <v>52484.07643312101</v>
      </c>
      <c r="R14" s="21">
        <f t="shared" si="1"/>
        <v>6114.649681528662</v>
      </c>
      <c r="S14" s="21">
        <f t="shared" si="1"/>
        <v>13248.4076433121</v>
      </c>
      <c r="T14" s="21">
        <f t="shared" si="2"/>
        <v>101910.8280254777</v>
      </c>
      <c r="U14" s="24">
        <f t="shared" si="3"/>
        <v>5.000593290729409</v>
      </c>
      <c r="V14" s="24">
        <f t="shared" si="3"/>
        <v>8.72984930415473</v>
      </c>
      <c r="W14" s="24">
        <f t="shared" si="3"/>
        <v>1.0170698218432694</v>
      </c>
      <c r="X14" s="24">
        <f t="shared" si="3"/>
        <v>2.2036512806604174</v>
      </c>
      <c r="Y14" s="24">
        <f t="shared" si="4"/>
        <v>16.951163697387827</v>
      </c>
      <c r="Z14" s="24">
        <f t="shared" si="5"/>
        <v>8.581952143997988</v>
      </c>
      <c r="AA14" s="24">
        <f t="shared" si="5"/>
        <v>14.98205204799649</v>
      </c>
      <c r="AB14" s="24">
        <f t="shared" si="5"/>
        <v>1.7454817919995909</v>
      </c>
      <c r="AC14" s="24">
        <f t="shared" si="5"/>
        <v>3.781877215999114</v>
      </c>
      <c r="AD14" s="24">
        <f t="shared" si="6"/>
        <v>29.091363199993182</v>
      </c>
    </row>
    <row r="15" spans="1:30" ht="12.75">
      <c r="A15" s="3">
        <v>2</v>
      </c>
      <c r="B15" s="3" t="s">
        <v>11</v>
      </c>
      <c r="C15" s="3">
        <v>1</v>
      </c>
      <c r="D15" s="3">
        <v>54</v>
      </c>
      <c r="E15" s="3">
        <v>43</v>
      </c>
      <c r="F15" s="3">
        <v>2</v>
      </c>
      <c r="G15" s="3">
        <v>34</v>
      </c>
      <c r="H15" s="4" t="s">
        <v>54</v>
      </c>
      <c r="I15" s="1">
        <v>8.6428</v>
      </c>
      <c r="J15" s="1">
        <v>10.0057</v>
      </c>
      <c r="K15" s="1">
        <v>9.0602</v>
      </c>
      <c r="L15" s="1">
        <f t="shared" si="7"/>
        <v>69.37412869616254</v>
      </c>
      <c r="N15" s="1">
        <v>12.48</v>
      </c>
      <c r="O15" s="1">
        <f t="shared" si="0"/>
        <v>13.8429</v>
      </c>
      <c r="P15" s="21">
        <f t="shared" si="1"/>
        <v>27515.923566878977</v>
      </c>
      <c r="Q15" s="21">
        <f t="shared" si="1"/>
        <v>21910.828025477706</v>
      </c>
      <c r="R15" s="21">
        <f t="shared" si="1"/>
        <v>1019.1082802547769</v>
      </c>
      <c r="S15" s="21">
        <f t="shared" si="1"/>
        <v>17324.84076433121</v>
      </c>
      <c r="T15" s="21">
        <f t="shared" si="2"/>
        <v>67770.70063694267</v>
      </c>
      <c r="U15" s="24">
        <f t="shared" si="3"/>
        <v>3.9009167154281257</v>
      </c>
      <c r="V15" s="24">
        <f t="shared" si="3"/>
        <v>3.1062855326557295</v>
      </c>
      <c r="W15" s="24">
        <f t="shared" si="3"/>
        <v>0.14447839686770836</v>
      </c>
      <c r="X15" s="24">
        <f t="shared" si="3"/>
        <v>2.456132746751042</v>
      </c>
      <c r="Y15" s="24">
        <f t="shared" si="4"/>
        <v>9.607813391702605</v>
      </c>
      <c r="Z15" s="24">
        <f t="shared" si="5"/>
        <v>5.623013634539394</v>
      </c>
      <c r="AA15" s="24">
        <f t="shared" si="5"/>
        <v>4.477584931207295</v>
      </c>
      <c r="AB15" s="24">
        <f t="shared" si="5"/>
        <v>0.20825976424219977</v>
      </c>
      <c r="AC15" s="24">
        <f t="shared" si="5"/>
        <v>3.540415992117396</v>
      </c>
      <c r="AD15" s="24">
        <f t="shared" si="6"/>
        <v>13.849274322106284</v>
      </c>
    </row>
    <row r="16" spans="1:30" ht="12.75">
      <c r="A16" s="26">
        <v>2</v>
      </c>
      <c r="B16" s="26" t="s">
        <v>11</v>
      </c>
      <c r="C16" s="26">
        <v>2</v>
      </c>
      <c r="D16" s="26">
        <v>35</v>
      </c>
      <c r="E16" s="26">
        <v>68</v>
      </c>
      <c r="F16" s="26">
        <v>32</v>
      </c>
      <c r="G16" s="26">
        <v>42</v>
      </c>
      <c r="H16" s="28" t="s">
        <v>172</v>
      </c>
      <c r="I16" s="1">
        <v>8.5585</v>
      </c>
      <c r="J16" s="1">
        <v>10.8839</v>
      </c>
      <c r="K16" s="1">
        <v>9.8548</v>
      </c>
      <c r="L16" s="1">
        <f t="shared" si="7"/>
        <v>44.25475187064597</v>
      </c>
      <c r="N16" s="1">
        <v>14.06</v>
      </c>
      <c r="O16" s="1">
        <f t="shared" si="0"/>
        <v>16.3854</v>
      </c>
      <c r="P16" s="21">
        <f t="shared" si="1"/>
        <v>17834.394904458597</v>
      </c>
      <c r="Q16" s="21">
        <f t="shared" si="1"/>
        <v>34649.68152866242</v>
      </c>
      <c r="R16" s="21">
        <f t="shared" si="1"/>
        <v>16305.73248407643</v>
      </c>
      <c r="S16" s="21">
        <f t="shared" si="1"/>
        <v>21401.273885350314</v>
      </c>
      <c r="T16" s="21">
        <f t="shared" si="2"/>
        <v>90191.08280254775</v>
      </c>
      <c r="U16" s="24">
        <f t="shared" si="3"/>
        <v>2.136047945121877</v>
      </c>
      <c r="V16" s="24">
        <f t="shared" si="3"/>
        <v>4.150036007665361</v>
      </c>
      <c r="W16" s="24">
        <f t="shared" si="3"/>
        <v>1.9529581212542872</v>
      </c>
      <c r="X16" s="24">
        <f t="shared" si="3"/>
        <v>2.5632575341462522</v>
      </c>
      <c r="Y16" s="24">
        <f t="shared" si="4"/>
        <v>10.802299608187777</v>
      </c>
      <c r="Z16" s="24">
        <f t="shared" si="5"/>
        <v>4.8267086693094985</v>
      </c>
      <c r="AA16" s="24">
        <f t="shared" si="5"/>
        <v>9.377605414658454</v>
      </c>
      <c r="AB16" s="24">
        <f t="shared" si="5"/>
        <v>4.412990783368684</v>
      </c>
      <c r="AC16" s="24">
        <f t="shared" si="5"/>
        <v>5.792050403171398</v>
      </c>
      <c r="AD16" s="24">
        <f t="shared" si="6"/>
        <v>24.409355270508033</v>
      </c>
    </row>
    <row r="17" spans="1:30" ht="12.75">
      <c r="A17" s="3">
        <v>2</v>
      </c>
      <c r="B17" s="3" t="s">
        <v>12</v>
      </c>
      <c r="C17" s="3">
        <v>1</v>
      </c>
      <c r="D17" s="3">
        <v>43</v>
      </c>
      <c r="E17" s="3">
        <v>116</v>
      </c>
      <c r="F17" s="3">
        <v>19</v>
      </c>
      <c r="G17" s="3">
        <v>28</v>
      </c>
      <c r="H17" s="4" t="s">
        <v>55</v>
      </c>
      <c r="I17" s="1">
        <v>8.6114</v>
      </c>
      <c r="J17" s="1">
        <v>10.6464</v>
      </c>
      <c r="K17" s="1">
        <v>9.4589</v>
      </c>
      <c r="L17" s="1">
        <f t="shared" si="7"/>
        <v>58.35380835380835</v>
      </c>
      <c r="N17" s="1">
        <v>13.47</v>
      </c>
      <c r="O17" s="1">
        <f t="shared" si="0"/>
        <v>15.505</v>
      </c>
      <c r="P17" s="21">
        <f t="shared" si="1"/>
        <v>21910.828025477706</v>
      </c>
      <c r="Q17" s="21">
        <f t="shared" si="1"/>
        <v>59108.28025477706</v>
      </c>
      <c r="R17" s="21">
        <f t="shared" si="1"/>
        <v>9681.52866242038</v>
      </c>
      <c r="S17" s="21">
        <f t="shared" si="1"/>
        <v>14267.515923566876</v>
      </c>
      <c r="T17" s="21">
        <f t="shared" si="2"/>
        <v>104968.15286624202</v>
      </c>
      <c r="U17" s="24">
        <f t="shared" si="3"/>
        <v>2.7732989358271523</v>
      </c>
      <c r="V17" s="24">
        <f t="shared" si="3"/>
        <v>7.481457594324411</v>
      </c>
      <c r="W17" s="24">
        <f t="shared" si="3"/>
        <v>1.2254111576910673</v>
      </c>
      <c r="X17" s="24">
        <f t="shared" si="3"/>
        <v>1.8058690744920993</v>
      </c>
      <c r="Y17" s="24">
        <f t="shared" si="4"/>
        <v>13.28603676233473</v>
      </c>
      <c r="Z17" s="24">
        <f t="shared" si="5"/>
        <v>4.752558597396426</v>
      </c>
      <c r="AA17" s="24">
        <f t="shared" si="5"/>
        <v>12.820855751115941</v>
      </c>
      <c r="AB17" s="24">
        <f t="shared" si="5"/>
        <v>2.099967752337956</v>
      </c>
      <c r="AC17" s="24">
        <f t="shared" si="5"/>
        <v>3.094689319234882</v>
      </c>
      <c r="AD17" s="24">
        <f t="shared" si="6"/>
        <v>22.768071420085203</v>
      </c>
    </row>
    <row r="18" spans="1:30" ht="12.75">
      <c r="A18" s="26">
        <v>2</v>
      </c>
      <c r="B18" s="26" t="s">
        <v>12</v>
      </c>
      <c r="C18" s="26">
        <v>2</v>
      </c>
      <c r="D18" s="26">
        <v>52</v>
      </c>
      <c r="E18" s="26">
        <v>49</v>
      </c>
      <c r="F18" s="26">
        <v>5</v>
      </c>
      <c r="G18" s="26">
        <v>34</v>
      </c>
      <c r="H18" s="28" t="s">
        <v>64</v>
      </c>
      <c r="I18" s="1">
        <v>8.4737</v>
      </c>
      <c r="J18" s="1">
        <v>11.3531</v>
      </c>
      <c r="K18" s="1">
        <v>10.0269</v>
      </c>
      <c r="L18" s="1">
        <f t="shared" si="7"/>
        <v>46.05820657081336</v>
      </c>
      <c r="N18" s="1">
        <v>14.39</v>
      </c>
      <c r="O18" s="1">
        <f t="shared" si="0"/>
        <v>17.2694</v>
      </c>
      <c r="P18" s="21">
        <f t="shared" si="1"/>
        <v>26496.8152866242</v>
      </c>
      <c r="Q18" s="21">
        <f t="shared" si="1"/>
        <v>24968.152866242035</v>
      </c>
      <c r="R18" s="21">
        <f t="shared" si="1"/>
        <v>2547.7707006369424</v>
      </c>
      <c r="S18" s="21">
        <f t="shared" si="1"/>
        <v>17324.84076433121</v>
      </c>
      <c r="T18" s="21">
        <f t="shared" si="2"/>
        <v>71337.57961783439</v>
      </c>
      <c r="U18" s="24">
        <f t="shared" si="3"/>
        <v>3.011106349960045</v>
      </c>
      <c r="V18" s="24">
        <f t="shared" si="3"/>
        <v>2.837388675923888</v>
      </c>
      <c r="W18" s="24">
        <f t="shared" si="3"/>
        <v>0.28952945672692737</v>
      </c>
      <c r="X18" s="24">
        <f t="shared" si="3"/>
        <v>1.9688003057431063</v>
      </c>
      <c r="Y18" s="24">
        <f t="shared" si="4"/>
        <v>8.106824788353967</v>
      </c>
      <c r="Z18" s="24">
        <f t="shared" si="5"/>
        <v>6.537610936566848</v>
      </c>
      <c r="AA18" s="24">
        <f t="shared" si="5"/>
        <v>6.160441074841837</v>
      </c>
      <c r="AB18" s="24">
        <f t="shared" si="5"/>
        <v>0.6286164362083507</v>
      </c>
      <c r="AC18" s="24">
        <f t="shared" si="5"/>
        <v>4.274591766216785</v>
      </c>
      <c r="AD18" s="24">
        <f t="shared" si="6"/>
        <v>17.601260213833818</v>
      </c>
    </row>
    <row r="19" spans="1:30" ht="12.75">
      <c r="A19" s="3">
        <v>3</v>
      </c>
      <c r="B19" s="3" t="s">
        <v>9</v>
      </c>
      <c r="C19" s="3">
        <v>1</v>
      </c>
      <c r="D19" s="3">
        <v>36</v>
      </c>
      <c r="E19" s="3">
        <v>76</v>
      </c>
      <c r="F19" s="3">
        <v>9</v>
      </c>
      <c r="G19" s="3">
        <v>21</v>
      </c>
      <c r="H19" s="4" t="s">
        <v>56</v>
      </c>
      <c r="I19" s="1">
        <v>7.8265</v>
      </c>
      <c r="J19" s="1">
        <v>10.3275</v>
      </c>
      <c r="K19" s="1">
        <v>9.3011</v>
      </c>
      <c r="L19" s="1">
        <f t="shared" si="7"/>
        <v>41.03958416633349</v>
      </c>
      <c r="N19" s="1">
        <v>17.49</v>
      </c>
      <c r="O19" s="1">
        <f t="shared" si="0"/>
        <v>19.991</v>
      </c>
      <c r="P19" s="21">
        <f t="shared" si="1"/>
        <v>18343.949044585985</v>
      </c>
      <c r="Q19" s="21">
        <f t="shared" si="1"/>
        <v>38726.11464968152</v>
      </c>
      <c r="R19" s="21">
        <f t="shared" si="1"/>
        <v>4585.987261146496</v>
      </c>
      <c r="S19" s="21">
        <f t="shared" si="1"/>
        <v>10700.636942675157</v>
      </c>
      <c r="T19" s="21">
        <f t="shared" si="2"/>
        <v>72356.68789808916</v>
      </c>
      <c r="U19" s="24">
        <f t="shared" si="3"/>
        <v>1.800810364664099</v>
      </c>
      <c r="V19" s="24">
        <f t="shared" si="3"/>
        <v>3.801710769846431</v>
      </c>
      <c r="W19" s="24">
        <f t="shared" si="3"/>
        <v>0.45020259116602473</v>
      </c>
      <c r="X19" s="24">
        <f t="shared" si="3"/>
        <v>1.0504727127207243</v>
      </c>
      <c r="Y19" s="24">
        <f t="shared" si="4"/>
        <v>7.103196438397279</v>
      </c>
      <c r="Z19" s="24">
        <f t="shared" si="5"/>
        <v>4.387983945854354</v>
      </c>
      <c r="AA19" s="24">
        <f t="shared" si="5"/>
        <v>9.263521663470303</v>
      </c>
      <c r="AB19" s="24">
        <f t="shared" si="5"/>
        <v>1.0969959864635885</v>
      </c>
      <c r="AC19" s="24">
        <f t="shared" si="5"/>
        <v>2.559657301748373</v>
      </c>
      <c r="AD19" s="24">
        <f t="shared" si="6"/>
        <v>17.308158897536618</v>
      </c>
    </row>
    <row r="20" spans="1:30" ht="12.75">
      <c r="A20" s="26">
        <v>3</v>
      </c>
      <c r="B20" s="26" t="s">
        <v>9</v>
      </c>
      <c r="C20" s="26">
        <v>2</v>
      </c>
      <c r="D20" s="26">
        <v>64</v>
      </c>
      <c r="E20" s="26">
        <v>70</v>
      </c>
      <c r="F20" s="26">
        <v>27</v>
      </c>
      <c r="G20" s="26">
        <v>74</v>
      </c>
      <c r="H20" s="28" t="s">
        <v>173</v>
      </c>
      <c r="I20" s="1">
        <v>8.7831</v>
      </c>
      <c r="J20" s="1">
        <v>10.2634</v>
      </c>
      <c r="K20" s="1">
        <v>9.3279</v>
      </c>
      <c r="L20" s="1">
        <f t="shared" si="7"/>
        <v>63.19664932783896</v>
      </c>
      <c r="N20" s="1">
        <v>8.25</v>
      </c>
      <c r="O20" s="1">
        <f t="shared" si="0"/>
        <v>9.730300000000002</v>
      </c>
      <c r="P20" s="21">
        <f t="shared" si="1"/>
        <v>32611.46496815286</v>
      </c>
      <c r="Q20" s="21">
        <f t="shared" si="1"/>
        <v>35668.789808917194</v>
      </c>
      <c r="R20" s="21">
        <f t="shared" si="1"/>
        <v>13757.961783439488</v>
      </c>
      <c r="S20" s="21">
        <f t="shared" si="1"/>
        <v>37707.006369426745</v>
      </c>
      <c r="T20" s="21">
        <f t="shared" si="2"/>
        <v>119745.22292993628</v>
      </c>
      <c r="U20" s="24">
        <f t="shared" si="3"/>
        <v>6.577392269508647</v>
      </c>
      <c r="V20" s="24">
        <f t="shared" si="3"/>
        <v>7.1940227947750826</v>
      </c>
      <c r="W20" s="24">
        <f t="shared" si="3"/>
        <v>2.7748373636989605</v>
      </c>
      <c r="X20" s="24">
        <f t="shared" si="3"/>
        <v>7.605109811619373</v>
      </c>
      <c r="Y20" s="24">
        <f t="shared" si="4"/>
        <v>24.151362239602065</v>
      </c>
      <c r="Z20" s="24">
        <f t="shared" si="5"/>
        <v>10.407818040142864</v>
      </c>
      <c r="AA20" s="24">
        <f t="shared" si="5"/>
        <v>11.383550981406257</v>
      </c>
      <c r="AB20" s="24">
        <f t="shared" si="5"/>
        <v>4.390798235685271</v>
      </c>
      <c r="AC20" s="24">
        <f t="shared" si="5"/>
        <v>12.034039608915185</v>
      </c>
      <c r="AD20" s="24">
        <f t="shared" si="6"/>
        <v>38.21620686614958</v>
      </c>
    </row>
    <row r="21" spans="1:30" ht="12.75">
      <c r="A21" s="3">
        <v>3</v>
      </c>
      <c r="B21" s="3" t="s">
        <v>10</v>
      </c>
      <c r="C21" s="3">
        <v>1</v>
      </c>
      <c r="D21" s="3">
        <v>45</v>
      </c>
      <c r="E21" s="3">
        <v>114</v>
      </c>
      <c r="F21" s="3">
        <v>21</v>
      </c>
      <c r="G21" s="3">
        <v>33</v>
      </c>
      <c r="H21" s="4" t="s">
        <v>57</v>
      </c>
      <c r="I21" s="1">
        <v>6.8653</v>
      </c>
      <c r="J21" s="1">
        <v>9.6192</v>
      </c>
      <c r="K21" s="1">
        <v>8.5293</v>
      </c>
      <c r="L21" s="1">
        <f t="shared" si="7"/>
        <v>39.57660045753297</v>
      </c>
      <c r="N21" s="1">
        <v>15.68</v>
      </c>
      <c r="O21" s="1">
        <f t="shared" si="0"/>
        <v>18.433899999999998</v>
      </c>
      <c r="P21" s="21">
        <f t="shared" si="1"/>
        <v>22929.93630573248</v>
      </c>
      <c r="Q21" s="21">
        <f t="shared" si="1"/>
        <v>58089.17197452229</v>
      </c>
      <c r="R21" s="21">
        <f t="shared" si="1"/>
        <v>10700.636942675157</v>
      </c>
      <c r="S21" s="21">
        <f t="shared" si="1"/>
        <v>16815.286624203818</v>
      </c>
      <c r="T21" s="21">
        <f t="shared" si="2"/>
        <v>108535.03184713374</v>
      </c>
      <c r="U21" s="24">
        <f t="shared" si="3"/>
        <v>2.4411546118835408</v>
      </c>
      <c r="V21" s="24">
        <f t="shared" si="3"/>
        <v>6.184258350104971</v>
      </c>
      <c r="W21" s="24">
        <f t="shared" si="3"/>
        <v>1.1392054855456524</v>
      </c>
      <c r="X21" s="24">
        <f t="shared" si="3"/>
        <v>1.7901800487145967</v>
      </c>
      <c r="Y21" s="24">
        <f t="shared" si="4"/>
        <v>11.55479849624876</v>
      </c>
      <c r="Z21" s="24">
        <f t="shared" si="5"/>
        <v>6.168176608556823</v>
      </c>
      <c r="AA21" s="24">
        <f t="shared" si="5"/>
        <v>15.62604740834395</v>
      </c>
      <c r="AB21" s="24">
        <f t="shared" si="5"/>
        <v>2.8784824173265173</v>
      </c>
      <c r="AC21" s="24">
        <f t="shared" si="5"/>
        <v>4.52332951294167</v>
      </c>
      <c r="AD21" s="24">
        <f t="shared" si="6"/>
        <v>29.19603594716896</v>
      </c>
    </row>
    <row r="22" spans="1:30" ht="12.75">
      <c r="A22" s="26">
        <v>3</v>
      </c>
      <c r="B22" s="26" t="s">
        <v>10</v>
      </c>
      <c r="C22" s="26">
        <v>2</v>
      </c>
      <c r="D22" s="26">
        <v>6</v>
      </c>
      <c r="E22" s="26">
        <v>36</v>
      </c>
      <c r="F22" s="26">
        <v>1</v>
      </c>
      <c r="G22" s="26">
        <v>5</v>
      </c>
      <c r="H22" s="28" t="s">
        <v>65</v>
      </c>
      <c r="I22" s="1">
        <v>8.7613</v>
      </c>
      <c r="J22" s="1">
        <v>11.1186</v>
      </c>
      <c r="K22" s="1">
        <v>10.1406</v>
      </c>
      <c r="L22" s="1">
        <f t="shared" si="7"/>
        <v>41.48814321469484</v>
      </c>
      <c r="N22" s="1">
        <v>17.97</v>
      </c>
      <c r="O22" s="1">
        <f t="shared" si="0"/>
        <v>20.3273</v>
      </c>
      <c r="P22" s="21">
        <f t="shared" si="1"/>
        <v>3057.324840764331</v>
      </c>
      <c r="Q22" s="21">
        <f t="shared" si="1"/>
        <v>18343.949044585985</v>
      </c>
      <c r="R22" s="21">
        <f t="shared" si="1"/>
        <v>509.55414012738845</v>
      </c>
      <c r="S22" s="21">
        <f t="shared" si="1"/>
        <v>2547.7707006369424</v>
      </c>
      <c r="T22" s="21">
        <f t="shared" si="2"/>
        <v>24458.598726114644</v>
      </c>
      <c r="U22" s="24">
        <f t="shared" si="3"/>
        <v>0.29516955030919007</v>
      </c>
      <c r="V22" s="24">
        <f t="shared" si="3"/>
        <v>1.7710173018551405</v>
      </c>
      <c r="W22" s="24">
        <f t="shared" si="3"/>
        <v>0.04919492505153168</v>
      </c>
      <c r="X22" s="24">
        <f t="shared" si="3"/>
        <v>0.2459746252576584</v>
      </c>
      <c r="Y22" s="24">
        <f t="shared" si="4"/>
        <v>2.361356402473521</v>
      </c>
      <c r="Z22" s="24">
        <f t="shared" si="5"/>
        <v>0.7114551952391133</v>
      </c>
      <c r="AA22" s="24">
        <f t="shared" si="5"/>
        <v>4.26873117143468</v>
      </c>
      <c r="AB22" s="24">
        <f t="shared" si="5"/>
        <v>0.11857586587318554</v>
      </c>
      <c r="AC22" s="24">
        <f t="shared" si="5"/>
        <v>0.5928793293659277</v>
      </c>
      <c r="AD22" s="24">
        <f t="shared" si="6"/>
        <v>5.691641561912906</v>
      </c>
    </row>
    <row r="23" spans="1:30" ht="12.75">
      <c r="A23" s="3">
        <v>3</v>
      </c>
      <c r="B23" s="3" t="s">
        <v>11</v>
      </c>
      <c r="C23" s="3">
        <v>1</v>
      </c>
      <c r="D23" s="3">
        <v>33</v>
      </c>
      <c r="E23" s="3">
        <v>35</v>
      </c>
      <c r="F23" s="3">
        <v>4</v>
      </c>
      <c r="G23" s="3">
        <v>78</v>
      </c>
      <c r="H23" s="4" t="s">
        <v>50</v>
      </c>
      <c r="I23" s="1">
        <v>8.462</v>
      </c>
      <c r="J23" s="1">
        <v>10.675</v>
      </c>
      <c r="K23" s="1">
        <v>9.5822</v>
      </c>
      <c r="L23" s="1">
        <f t="shared" si="7"/>
        <v>49.38093086308179</v>
      </c>
      <c r="N23" s="1">
        <v>21.06</v>
      </c>
      <c r="O23" s="1">
        <f t="shared" si="0"/>
        <v>23.273</v>
      </c>
      <c r="P23" s="21">
        <f t="shared" si="1"/>
        <v>16815.286624203818</v>
      </c>
      <c r="Q23" s="21">
        <f t="shared" si="1"/>
        <v>17834.394904458597</v>
      </c>
      <c r="R23" s="21">
        <f t="shared" si="1"/>
        <v>2038.2165605095538</v>
      </c>
      <c r="S23" s="21">
        <f t="shared" si="1"/>
        <v>39745.2229299363</v>
      </c>
      <c r="T23" s="21">
        <f t="shared" si="2"/>
        <v>76433.12101910828</v>
      </c>
      <c r="U23" s="24">
        <f t="shared" si="3"/>
        <v>1.417952133373437</v>
      </c>
      <c r="V23" s="24">
        <f t="shared" si="3"/>
        <v>1.5038886263051605</v>
      </c>
      <c r="W23" s="24">
        <f t="shared" si="3"/>
        <v>0.1718729858634469</v>
      </c>
      <c r="X23" s="24">
        <f t="shared" si="3"/>
        <v>3.351523224337215</v>
      </c>
      <c r="Y23" s="24">
        <f t="shared" si="4"/>
        <v>6.445236969879259</v>
      </c>
      <c r="Z23" s="24">
        <f t="shared" si="5"/>
        <v>2.8714568733120576</v>
      </c>
      <c r="AA23" s="24">
        <f t="shared" si="5"/>
        <v>3.0454845626036975</v>
      </c>
      <c r="AB23" s="24">
        <f t="shared" si="5"/>
        <v>0.34805537858327973</v>
      </c>
      <c r="AC23" s="24">
        <f t="shared" si="5"/>
        <v>6.787079882373955</v>
      </c>
      <c r="AD23" s="24">
        <f t="shared" si="6"/>
        <v>13.052076696872989</v>
      </c>
    </row>
    <row r="24" spans="1:30" ht="12.75">
      <c r="A24" s="26">
        <v>3</v>
      </c>
      <c r="B24" s="26" t="s">
        <v>11</v>
      </c>
      <c r="C24" s="26">
        <v>2</v>
      </c>
      <c r="D24" s="26">
        <v>77</v>
      </c>
      <c r="E24" s="26">
        <v>63</v>
      </c>
      <c r="F24" s="26">
        <v>22</v>
      </c>
      <c r="G24" s="26">
        <v>53</v>
      </c>
      <c r="H24" s="28" t="s">
        <v>174</v>
      </c>
      <c r="I24" s="1">
        <v>7.8037</v>
      </c>
      <c r="J24" s="1">
        <v>10.7026</v>
      </c>
      <c r="K24" s="1">
        <v>9.7621</v>
      </c>
      <c r="L24" s="1">
        <f t="shared" si="7"/>
        <v>32.44334057746042</v>
      </c>
      <c r="N24" s="1">
        <v>11.78</v>
      </c>
      <c r="O24" s="1">
        <f t="shared" si="0"/>
        <v>14.678899999999999</v>
      </c>
      <c r="P24" s="21">
        <f t="shared" si="1"/>
        <v>39235.668789808915</v>
      </c>
      <c r="Q24" s="21">
        <f t="shared" si="1"/>
        <v>32101.910828025473</v>
      </c>
      <c r="R24" s="21">
        <f t="shared" si="1"/>
        <v>11210.191082802547</v>
      </c>
      <c r="S24" s="21">
        <f t="shared" si="1"/>
        <v>27006.36942675159</v>
      </c>
      <c r="T24" s="21">
        <f t="shared" si="2"/>
        <v>109554.14012738853</v>
      </c>
      <c r="U24" s="24">
        <f t="shared" si="3"/>
        <v>5.245624672148458</v>
      </c>
      <c r="V24" s="24">
        <f t="shared" si="3"/>
        <v>4.291874731757829</v>
      </c>
      <c r="W24" s="24">
        <f t="shared" si="3"/>
        <v>1.4987499063281309</v>
      </c>
      <c r="X24" s="24">
        <f t="shared" si="3"/>
        <v>3.610624774335952</v>
      </c>
      <c r="Y24" s="24">
        <f t="shared" si="4"/>
        <v>14.64687408457037</v>
      </c>
      <c r="Z24" s="24">
        <f t="shared" si="5"/>
        <v>16.16857135788534</v>
      </c>
      <c r="AA24" s="24">
        <f t="shared" si="5"/>
        <v>13.228831110997099</v>
      </c>
      <c r="AB24" s="24">
        <f t="shared" si="5"/>
        <v>4.619591816538669</v>
      </c>
      <c r="AC24" s="24">
        <f t="shared" si="5"/>
        <v>11.129016648934067</v>
      </c>
      <c r="AD24" s="24">
        <f t="shared" si="6"/>
        <v>45.146010934355175</v>
      </c>
    </row>
    <row r="25" spans="1:30" ht="12.75">
      <c r="A25" s="3">
        <v>3</v>
      </c>
      <c r="B25" s="3" t="s">
        <v>12</v>
      </c>
      <c r="C25" s="3">
        <v>1</v>
      </c>
      <c r="D25" s="3">
        <v>54</v>
      </c>
      <c r="E25" s="3">
        <v>109</v>
      </c>
      <c r="F25" s="3">
        <v>12</v>
      </c>
      <c r="G25" s="3">
        <v>127</v>
      </c>
      <c r="H25" s="29" t="s">
        <v>58</v>
      </c>
      <c r="I25" s="1">
        <v>8.0172</v>
      </c>
      <c r="J25" s="1">
        <v>9.5385</v>
      </c>
      <c r="K25" s="1">
        <v>8.6202</v>
      </c>
      <c r="L25" s="1">
        <f t="shared" si="7"/>
        <v>60.36284756458294</v>
      </c>
      <c r="N25" s="1">
        <v>13.66</v>
      </c>
      <c r="O25" s="1">
        <f t="shared" si="0"/>
        <v>15.1813</v>
      </c>
      <c r="P25" s="21">
        <f t="shared" si="1"/>
        <v>27515.923566878977</v>
      </c>
      <c r="Q25" s="21">
        <f t="shared" si="1"/>
        <v>55541.40127388534</v>
      </c>
      <c r="R25" s="21">
        <f t="shared" si="1"/>
        <v>6114.649681528662</v>
      </c>
      <c r="S25" s="21">
        <f t="shared" si="1"/>
        <v>64713.375796178334</v>
      </c>
      <c r="T25" s="21">
        <f t="shared" si="2"/>
        <v>153885.35031847132</v>
      </c>
      <c r="U25" s="24">
        <f t="shared" si="3"/>
        <v>3.5570076343923116</v>
      </c>
      <c r="V25" s="24">
        <f t="shared" si="3"/>
        <v>7.179885780532629</v>
      </c>
      <c r="W25" s="24">
        <f t="shared" si="3"/>
        <v>0.7904461409760692</v>
      </c>
      <c r="X25" s="24">
        <f t="shared" si="3"/>
        <v>8.365554991996733</v>
      </c>
      <c r="Y25" s="24">
        <f t="shared" si="4"/>
        <v>19.892894547897743</v>
      </c>
      <c r="Z25" s="24">
        <f t="shared" si="5"/>
        <v>5.892710131984124</v>
      </c>
      <c r="AA25" s="24">
        <f t="shared" si="5"/>
        <v>11.894544525671657</v>
      </c>
      <c r="AB25" s="24">
        <f t="shared" si="5"/>
        <v>1.3094911404409164</v>
      </c>
      <c r="AC25" s="24">
        <f t="shared" si="5"/>
        <v>13.858781236333032</v>
      </c>
      <c r="AD25" s="24">
        <f t="shared" si="6"/>
        <v>32.95552703442973</v>
      </c>
    </row>
    <row r="26" spans="1:30" ht="12.75">
      <c r="A26" s="26">
        <v>3</v>
      </c>
      <c r="B26" s="26" t="s">
        <v>12</v>
      </c>
      <c r="C26" s="26">
        <v>2</v>
      </c>
      <c r="D26" s="26">
        <v>44</v>
      </c>
      <c r="E26" s="26">
        <v>60</v>
      </c>
      <c r="F26" s="26">
        <v>1</v>
      </c>
      <c r="G26" s="26">
        <v>118</v>
      </c>
      <c r="H26" s="28" t="s">
        <v>175</v>
      </c>
      <c r="I26" s="1">
        <v>8.0981</v>
      </c>
      <c r="J26" s="1">
        <v>9.4011</v>
      </c>
      <c r="K26" s="1">
        <v>8.5159</v>
      </c>
      <c r="L26" s="1">
        <f t="shared" si="7"/>
        <v>67.9355333844973</v>
      </c>
      <c r="N26" s="1">
        <v>15.44</v>
      </c>
      <c r="O26" s="1">
        <f t="shared" si="0"/>
        <v>16.743</v>
      </c>
      <c r="P26" s="21">
        <f t="shared" si="1"/>
        <v>22420.382165605093</v>
      </c>
      <c r="Q26" s="21">
        <f t="shared" si="1"/>
        <v>30573.248407643307</v>
      </c>
      <c r="R26" s="21">
        <f t="shared" si="1"/>
        <v>509.55414012738845</v>
      </c>
      <c r="S26" s="21">
        <f t="shared" si="1"/>
        <v>60127.38853503184</v>
      </c>
      <c r="T26" s="21">
        <f t="shared" si="2"/>
        <v>113630.57324840763</v>
      </c>
      <c r="U26" s="24">
        <f t="shared" si="3"/>
        <v>2.627963925222481</v>
      </c>
      <c r="V26" s="24">
        <f t="shared" si="3"/>
        <v>3.583587170757929</v>
      </c>
      <c r="W26" s="24">
        <f t="shared" si="3"/>
        <v>0.059726452845965484</v>
      </c>
      <c r="X26" s="24">
        <f t="shared" si="3"/>
        <v>7.047721435823927</v>
      </c>
      <c r="Y26" s="24">
        <f t="shared" si="4"/>
        <v>13.318998984650303</v>
      </c>
      <c r="Z26" s="24">
        <f t="shared" si="5"/>
        <v>3.8683201474976205</v>
      </c>
      <c r="AA26" s="24">
        <f t="shared" si="5"/>
        <v>5.274982019314937</v>
      </c>
      <c r="AB26" s="24">
        <f t="shared" si="5"/>
        <v>0.08791636698858228</v>
      </c>
      <c r="AC26" s="24">
        <f t="shared" si="5"/>
        <v>10.37413130465271</v>
      </c>
      <c r="AD26" s="24">
        <f t="shared" si="6"/>
        <v>19.605349838453847</v>
      </c>
    </row>
    <row r="27" spans="1:31" ht="12.75">
      <c r="A27" s="3">
        <v>4</v>
      </c>
      <c r="B27" s="3" t="s">
        <v>9</v>
      </c>
      <c r="C27" s="3">
        <v>1</v>
      </c>
      <c r="D27" s="3">
        <v>41</v>
      </c>
      <c r="E27" s="3">
        <v>97</v>
      </c>
      <c r="F27" s="3">
        <v>12</v>
      </c>
      <c r="G27" s="3">
        <v>60</v>
      </c>
      <c r="H27" s="4" t="s">
        <v>59</v>
      </c>
      <c r="I27" s="1">
        <v>7.6678</v>
      </c>
      <c r="J27" s="1">
        <v>9.7524</v>
      </c>
      <c r="K27" s="1">
        <v>8.7303</v>
      </c>
      <c r="L27" s="1">
        <f t="shared" si="7"/>
        <v>49.03098915859158</v>
      </c>
      <c r="N27" s="1">
        <v>11.66</v>
      </c>
      <c r="O27" s="1">
        <f t="shared" si="0"/>
        <v>13.7446</v>
      </c>
      <c r="P27" s="21">
        <f t="shared" si="1"/>
        <v>20891.719745222927</v>
      </c>
      <c r="Q27" s="21">
        <f t="shared" si="1"/>
        <v>49426.75159235668</v>
      </c>
      <c r="R27" s="21">
        <f t="shared" si="1"/>
        <v>6114.649681528662</v>
      </c>
      <c r="S27" s="21">
        <f t="shared" si="1"/>
        <v>30573.248407643307</v>
      </c>
      <c r="T27" s="21">
        <f t="shared" si="2"/>
        <v>107006.36942675158</v>
      </c>
      <c r="U27" s="24">
        <f t="shared" si="3"/>
        <v>2.9829896832210467</v>
      </c>
      <c r="V27" s="24">
        <f t="shared" si="3"/>
        <v>7.057317055425403</v>
      </c>
      <c r="W27" s="24">
        <f t="shared" si="3"/>
        <v>0.8730701511866479</v>
      </c>
      <c r="X27" s="24">
        <f t="shared" si="3"/>
        <v>4.365350755933239</v>
      </c>
      <c r="Y27" s="24">
        <f t="shared" si="4"/>
        <v>15.278727645766336</v>
      </c>
      <c r="Z27" s="24">
        <f t="shared" si="5"/>
        <v>6.083886404111724</v>
      </c>
      <c r="AA27" s="24">
        <f t="shared" si="5"/>
        <v>14.393584907288712</v>
      </c>
      <c r="AB27" s="24">
        <f t="shared" si="5"/>
        <v>1.780649679252212</v>
      </c>
      <c r="AC27" s="24">
        <f t="shared" si="5"/>
        <v>8.90324839626106</v>
      </c>
      <c r="AD27" s="24">
        <f t="shared" si="6"/>
        <v>31.161369386913705</v>
      </c>
      <c r="AE27" s="30"/>
    </row>
    <row r="28" spans="1:31" ht="12.75">
      <c r="A28" s="26">
        <v>4</v>
      </c>
      <c r="B28" s="26" t="s">
        <v>9</v>
      </c>
      <c r="C28" s="26">
        <v>2</v>
      </c>
      <c r="D28" s="26">
        <v>33</v>
      </c>
      <c r="E28" s="26">
        <v>84</v>
      </c>
      <c r="F28" s="26">
        <v>28</v>
      </c>
      <c r="G28" s="26">
        <v>62</v>
      </c>
      <c r="H28" s="28" t="s">
        <v>176</v>
      </c>
      <c r="I28" s="1">
        <v>8.1746</v>
      </c>
      <c r="J28" s="1">
        <v>11.4181</v>
      </c>
      <c r="K28" s="1">
        <v>10.5173</v>
      </c>
      <c r="L28" s="1">
        <f t="shared" si="7"/>
        <v>27.772468012948973</v>
      </c>
      <c r="N28" s="1">
        <v>24.71</v>
      </c>
      <c r="O28" s="1">
        <f t="shared" si="0"/>
        <v>27.953500000000002</v>
      </c>
      <c r="P28" s="21">
        <f t="shared" si="1"/>
        <v>16815.286624203818</v>
      </c>
      <c r="Q28" s="21">
        <f t="shared" si="1"/>
        <v>42802.54777070063</v>
      </c>
      <c r="R28" s="21">
        <f t="shared" si="1"/>
        <v>14267.515923566876</v>
      </c>
      <c r="S28" s="21">
        <f t="shared" si="1"/>
        <v>31592.356687898086</v>
      </c>
      <c r="T28" s="21">
        <f t="shared" si="2"/>
        <v>105477.7070063694</v>
      </c>
      <c r="U28" s="24">
        <f t="shared" si="3"/>
        <v>1.180531954853596</v>
      </c>
      <c r="V28" s="24">
        <f t="shared" si="3"/>
        <v>3.0049904305364263</v>
      </c>
      <c r="W28" s="24">
        <f t="shared" si="3"/>
        <v>1.0016634768454755</v>
      </c>
      <c r="X28" s="24">
        <f t="shared" si="3"/>
        <v>2.217969127300696</v>
      </c>
      <c r="Y28" s="24">
        <f t="shared" si="4"/>
        <v>7.405154989536195</v>
      </c>
      <c r="Z28" s="24">
        <f t="shared" si="5"/>
        <v>4.250727570567983</v>
      </c>
      <c r="AA28" s="24">
        <f t="shared" si="5"/>
        <v>10.820033815991229</v>
      </c>
      <c r="AB28" s="24">
        <f t="shared" si="5"/>
        <v>3.6066779386637426</v>
      </c>
      <c r="AC28" s="24">
        <f t="shared" si="5"/>
        <v>7.986215435612573</v>
      </c>
      <c r="AD28" s="24">
        <f t="shared" si="6"/>
        <v>26.663654760835527</v>
      </c>
      <c r="AE28" s="30"/>
    </row>
    <row r="29" spans="1:31" ht="12.75">
      <c r="A29" s="3">
        <v>4</v>
      </c>
      <c r="B29" s="3" t="s">
        <v>10</v>
      </c>
      <c r="C29" s="3">
        <v>1</v>
      </c>
      <c r="D29" s="3">
        <v>28</v>
      </c>
      <c r="E29" s="3">
        <v>72</v>
      </c>
      <c r="F29" s="3">
        <v>15</v>
      </c>
      <c r="G29" s="3">
        <v>83</v>
      </c>
      <c r="H29" s="4" t="s">
        <v>60</v>
      </c>
      <c r="I29" s="1">
        <v>8.8074</v>
      </c>
      <c r="J29" s="1">
        <v>11.4615</v>
      </c>
      <c r="K29" s="1">
        <v>10.0315</v>
      </c>
      <c r="L29" s="1">
        <f t="shared" si="7"/>
        <v>53.87890433668663</v>
      </c>
      <c r="N29" s="1">
        <v>17.08</v>
      </c>
      <c r="O29" s="1">
        <f t="shared" si="0"/>
        <v>19.734099999999998</v>
      </c>
      <c r="P29" s="21">
        <f t="shared" si="1"/>
        <v>14267.515923566876</v>
      </c>
      <c r="Q29" s="21">
        <f t="shared" si="1"/>
        <v>36687.89808917197</v>
      </c>
      <c r="R29" s="21">
        <f t="shared" si="1"/>
        <v>7643.312101910827</v>
      </c>
      <c r="S29" s="21">
        <f t="shared" si="1"/>
        <v>42292.99363057324</v>
      </c>
      <c r="T29" s="21">
        <f t="shared" si="2"/>
        <v>100891.71974522292</v>
      </c>
      <c r="U29" s="24">
        <f t="shared" si="3"/>
        <v>1.418863794143133</v>
      </c>
      <c r="V29" s="24">
        <f t="shared" si="3"/>
        <v>3.6485068992251994</v>
      </c>
      <c r="W29" s="24">
        <f t="shared" si="3"/>
        <v>0.7601056040052498</v>
      </c>
      <c r="X29" s="24">
        <f t="shared" si="3"/>
        <v>4.205917675495716</v>
      </c>
      <c r="Y29" s="24">
        <f t="shared" si="4"/>
        <v>10.033393972869298</v>
      </c>
      <c r="Z29" s="24">
        <f t="shared" si="5"/>
        <v>2.633431046178525</v>
      </c>
      <c r="AA29" s="24">
        <f t="shared" si="5"/>
        <v>6.771679833030492</v>
      </c>
      <c r="AB29" s="24">
        <f t="shared" si="5"/>
        <v>1.4107666318813525</v>
      </c>
      <c r="AC29" s="24">
        <f t="shared" si="5"/>
        <v>7.806242029743484</v>
      </c>
      <c r="AD29" s="24">
        <f t="shared" si="6"/>
        <v>18.622119540833854</v>
      </c>
      <c r="AE29" s="30"/>
    </row>
    <row r="30" spans="1:31" ht="12.75">
      <c r="A30" s="26">
        <v>4</v>
      </c>
      <c r="B30" s="26" t="s">
        <v>10</v>
      </c>
      <c r="C30" s="26">
        <v>2</v>
      </c>
      <c r="D30" s="26">
        <v>41</v>
      </c>
      <c r="E30" s="26">
        <v>134</v>
      </c>
      <c r="F30" s="26">
        <v>25</v>
      </c>
      <c r="G30" s="26">
        <v>99</v>
      </c>
      <c r="H30" s="28" t="s">
        <v>177</v>
      </c>
      <c r="I30" s="1">
        <v>8.5712</v>
      </c>
      <c r="J30" s="1">
        <v>10.313</v>
      </c>
      <c r="K30" s="1">
        <v>9.4386</v>
      </c>
      <c r="L30" s="1">
        <f t="shared" si="7"/>
        <v>50.20094155471356</v>
      </c>
      <c r="N30" s="1">
        <v>12.98</v>
      </c>
      <c r="O30" s="1">
        <f t="shared" si="0"/>
        <v>14.721800000000002</v>
      </c>
      <c r="P30" s="21">
        <f t="shared" si="1"/>
        <v>20891.719745222927</v>
      </c>
      <c r="Q30" s="21">
        <f t="shared" si="1"/>
        <v>68280.25477707005</v>
      </c>
      <c r="R30" s="21">
        <f t="shared" si="1"/>
        <v>12738.853503184711</v>
      </c>
      <c r="S30" s="21">
        <f t="shared" si="1"/>
        <v>50445.85987261146</v>
      </c>
      <c r="T30" s="21">
        <f t="shared" si="2"/>
        <v>152356.68789808915</v>
      </c>
      <c r="U30" s="24">
        <f t="shared" si="3"/>
        <v>2.78498553166053</v>
      </c>
      <c r="V30" s="24">
        <f t="shared" si="3"/>
        <v>9.102147835183196</v>
      </c>
      <c r="W30" s="24">
        <f t="shared" si="3"/>
        <v>1.6981619095491038</v>
      </c>
      <c r="X30" s="24">
        <f t="shared" si="3"/>
        <v>6.724721161814451</v>
      </c>
      <c r="Y30" s="24">
        <f t="shared" si="4"/>
        <v>20.31001643820728</v>
      </c>
      <c r="Z30" s="24">
        <f t="shared" si="5"/>
        <v>5.547675890949574</v>
      </c>
      <c r="AA30" s="24">
        <f t="shared" si="5"/>
        <v>18.13142852164007</v>
      </c>
      <c r="AB30" s="24">
        <f t="shared" si="5"/>
        <v>3.3827292017985204</v>
      </c>
      <c r="AC30" s="24">
        <f t="shared" si="5"/>
        <v>13.395607639122142</v>
      </c>
      <c r="AD30" s="24">
        <f t="shared" si="6"/>
        <v>40.457441253510304</v>
      </c>
      <c r="AE30" s="30"/>
    </row>
    <row r="31" spans="1:31" ht="12.75">
      <c r="A31" s="3">
        <v>4</v>
      </c>
      <c r="B31" s="3" t="s">
        <v>11</v>
      </c>
      <c r="C31" s="3">
        <v>1</v>
      </c>
      <c r="D31" s="3">
        <v>26</v>
      </c>
      <c r="E31" s="3">
        <v>24</v>
      </c>
      <c r="F31" s="3">
        <v>3</v>
      </c>
      <c r="G31" s="3">
        <v>59</v>
      </c>
      <c r="H31" s="4" t="s">
        <v>61</v>
      </c>
      <c r="I31" s="1">
        <v>8.1051</v>
      </c>
      <c r="J31" s="1">
        <v>10.0042</v>
      </c>
      <c r="K31" s="1">
        <v>8.8437</v>
      </c>
      <c r="L31" s="1">
        <f t="shared" si="7"/>
        <v>61.10789321257439</v>
      </c>
      <c r="N31" s="1">
        <v>11.87</v>
      </c>
      <c r="O31" s="1">
        <f t="shared" si="0"/>
        <v>13.7691</v>
      </c>
      <c r="P31" s="21">
        <f t="shared" si="1"/>
        <v>13248.4076433121</v>
      </c>
      <c r="Q31" s="21">
        <f t="shared" si="1"/>
        <v>12229.299363057324</v>
      </c>
      <c r="R31" s="21">
        <f t="shared" si="1"/>
        <v>1528.6624203821655</v>
      </c>
      <c r="S31" s="21">
        <f t="shared" si="1"/>
        <v>30063.69426751592</v>
      </c>
      <c r="T31" s="21">
        <f t="shared" si="2"/>
        <v>57070.06369426751</v>
      </c>
      <c r="U31" s="24">
        <f t="shared" si="3"/>
        <v>1.8882860898678926</v>
      </c>
      <c r="V31" s="24">
        <f t="shared" si="3"/>
        <v>1.7430333137242087</v>
      </c>
      <c r="W31" s="24">
        <f t="shared" si="3"/>
        <v>0.21787916421552608</v>
      </c>
      <c r="X31" s="24">
        <f t="shared" si="3"/>
        <v>4.284956896238679</v>
      </c>
      <c r="Y31" s="24">
        <f t="shared" si="4"/>
        <v>8.134155464046307</v>
      </c>
      <c r="Z31" s="24">
        <f t="shared" si="5"/>
        <v>3.090085405659728</v>
      </c>
      <c r="AA31" s="24">
        <f t="shared" si="5"/>
        <v>2.8523865283012872</v>
      </c>
      <c r="AB31" s="24">
        <f t="shared" si="5"/>
        <v>0.3565483160376609</v>
      </c>
      <c r="AC31" s="24">
        <f t="shared" si="5"/>
        <v>7.012116882073998</v>
      </c>
      <c r="AD31" s="24">
        <f t="shared" si="6"/>
        <v>13.311137132072673</v>
      </c>
      <c r="AE31" s="30"/>
    </row>
    <row r="32" spans="1:31" ht="12.75">
      <c r="A32" s="26">
        <v>4</v>
      </c>
      <c r="B32" s="26" t="s">
        <v>11</v>
      </c>
      <c r="C32" s="26">
        <v>2</v>
      </c>
      <c r="D32" s="26">
        <v>33</v>
      </c>
      <c r="E32" s="26">
        <v>152</v>
      </c>
      <c r="F32" s="26">
        <v>21</v>
      </c>
      <c r="G32" s="26">
        <v>62</v>
      </c>
      <c r="H32" s="28" t="s">
        <v>178</v>
      </c>
      <c r="I32" s="1">
        <v>7.8669</v>
      </c>
      <c r="J32" s="1">
        <v>11.1394</v>
      </c>
      <c r="K32" s="1">
        <v>10.2075</v>
      </c>
      <c r="L32" s="1">
        <f t="shared" si="7"/>
        <v>28.476699770817437</v>
      </c>
      <c r="N32" s="1">
        <v>13.84</v>
      </c>
      <c r="O32" s="1">
        <f t="shared" si="0"/>
        <v>17.1125</v>
      </c>
      <c r="P32" s="21">
        <f t="shared" si="1"/>
        <v>16815.286624203818</v>
      </c>
      <c r="Q32" s="21">
        <f t="shared" si="1"/>
        <v>77452.22929936304</v>
      </c>
      <c r="R32" s="21">
        <f t="shared" si="1"/>
        <v>10700.636942675157</v>
      </c>
      <c r="S32" s="21">
        <f t="shared" si="1"/>
        <v>31592.356687898086</v>
      </c>
      <c r="T32" s="21">
        <f t="shared" si="2"/>
        <v>136560.5095541401</v>
      </c>
      <c r="U32" s="24">
        <f t="shared" si="3"/>
        <v>1.9284149013878742</v>
      </c>
      <c r="V32" s="24">
        <f t="shared" si="3"/>
        <v>8.882395909422936</v>
      </c>
      <c r="W32" s="24">
        <f t="shared" si="3"/>
        <v>1.2271731190650108</v>
      </c>
      <c r="X32" s="24">
        <f t="shared" si="3"/>
        <v>3.6230825420014607</v>
      </c>
      <c r="Y32" s="24">
        <f t="shared" si="4"/>
        <v>15.661066471877282</v>
      </c>
      <c r="Z32" s="24">
        <f t="shared" si="5"/>
        <v>6.771904458409501</v>
      </c>
      <c r="AA32" s="24">
        <f t="shared" si="5"/>
        <v>31.191802353886185</v>
      </c>
      <c r="AB32" s="24">
        <f t="shared" si="5"/>
        <v>4.309393746260591</v>
      </c>
      <c r="AC32" s="24">
        <f t="shared" si="5"/>
        <v>12.722972012769366</v>
      </c>
      <c r="AD32" s="24">
        <f t="shared" si="6"/>
        <v>54.99607257132564</v>
      </c>
      <c r="AE32" s="30"/>
    </row>
    <row r="33" spans="1:31" ht="12.75">
      <c r="A33" s="3">
        <v>4</v>
      </c>
      <c r="B33" s="3" t="s">
        <v>12</v>
      </c>
      <c r="C33" s="3">
        <v>1</v>
      </c>
      <c r="D33" s="3">
        <v>38</v>
      </c>
      <c r="E33" s="3">
        <v>123</v>
      </c>
      <c r="F33" s="3">
        <v>19</v>
      </c>
      <c r="G33" s="3">
        <v>102</v>
      </c>
      <c r="H33" s="4" t="s">
        <v>62</v>
      </c>
      <c r="I33" s="1">
        <v>8.232</v>
      </c>
      <c r="J33" s="1">
        <v>9.6351</v>
      </c>
      <c r="K33" s="1">
        <v>8.71</v>
      </c>
      <c r="L33" s="1">
        <f t="shared" si="7"/>
        <v>65.93257786330258</v>
      </c>
      <c r="N33" s="1">
        <v>10.39</v>
      </c>
      <c r="O33" s="1">
        <f t="shared" si="0"/>
        <v>11.7931</v>
      </c>
      <c r="P33" s="21">
        <f t="shared" si="1"/>
        <v>19363.05732484076</v>
      </c>
      <c r="Q33" s="21">
        <f t="shared" si="1"/>
        <v>62675.15923566878</v>
      </c>
      <c r="R33" s="21">
        <f t="shared" si="1"/>
        <v>9681.52866242038</v>
      </c>
      <c r="S33" s="21">
        <f t="shared" si="1"/>
        <v>51974.52229299362</v>
      </c>
      <c r="T33" s="21">
        <f t="shared" si="2"/>
        <v>143694.26751592354</v>
      </c>
      <c r="U33" s="24">
        <f t="shared" si="3"/>
        <v>3.2222231643927377</v>
      </c>
      <c r="V33" s="24">
        <f t="shared" si="3"/>
        <v>10.429827611060704</v>
      </c>
      <c r="W33" s="24">
        <f t="shared" si="3"/>
        <v>1.6111115821963689</v>
      </c>
      <c r="X33" s="24">
        <f t="shared" si="3"/>
        <v>8.64912533600156</v>
      </c>
      <c r="Y33" s="24">
        <f t="shared" si="4"/>
        <v>23.912287693651372</v>
      </c>
      <c r="Z33" s="24">
        <f t="shared" si="5"/>
        <v>4.887148764414071</v>
      </c>
      <c r="AA33" s="24">
        <f t="shared" si="5"/>
        <v>15.818928895340283</v>
      </c>
      <c r="AB33" s="24">
        <f t="shared" si="5"/>
        <v>2.4435743822070357</v>
      </c>
      <c r="AC33" s="24">
        <f t="shared" si="5"/>
        <v>13.118136157111454</v>
      </c>
      <c r="AD33" s="24">
        <f t="shared" si="6"/>
        <v>36.26778819907285</v>
      </c>
      <c r="AE33" s="30"/>
    </row>
    <row r="34" spans="1:31" ht="12.75">
      <c r="A34" s="26">
        <v>4</v>
      </c>
      <c r="B34" s="26" t="s">
        <v>12</v>
      </c>
      <c r="C34" s="26">
        <v>2</v>
      </c>
      <c r="D34" s="26">
        <v>103</v>
      </c>
      <c r="E34" s="26">
        <v>120</v>
      </c>
      <c r="F34" s="26">
        <v>15</v>
      </c>
      <c r="G34" s="26">
        <v>101</v>
      </c>
      <c r="H34" s="28" t="s">
        <v>179</v>
      </c>
      <c r="I34" s="1">
        <v>8.1546</v>
      </c>
      <c r="J34" s="1">
        <v>10.2014</v>
      </c>
      <c r="K34" s="1">
        <v>9.2261</v>
      </c>
      <c r="L34" s="1">
        <f t="shared" si="7"/>
        <v>47.649990228649564</v>
      </c>
      <c r="N34" s="1">
        <v>15.33</v>
      </c>
      <c r="O34" s="1">
        <f t="shared" si="0"/>
        <v>17.3768</v>
      </c>
      <c r="P34" s="21">
        <f t="shared" si="1"/>
        <v>52484.07643312101</v>
      </c>
      <c r="Q34" s="21">
        <f t="shared" si="1"/>
        <v>61146.49681528661</v>
      </c>
      <c r="R34" s="21">
        <f t="shared" si="1"/>
        <v>7643.312101910827</v>
      </c>
      <c r="S34" s="21">
        <f t="shared" si="1"/>
        <v>51464.96815286623</v>
      </c>
      <c r="T34" s="21">
        <f t="shared" si="2"/>
        <v>172738.85350318468</v>
      </c>
      <c r="U34" s="24">
        <f t="shared" si="3"/>
        <v>5.927443487868883</v>
      </c>
      <c r="V34" s="24">
        <f t="shared" si="3"/>
        <v>6.905759403342388</v>
      </c>
      <c r="W34" s="24">
        <f t="shared" si="3"/>
        <v>0.8632199254177985</v>
      </c>
      <c r="X34" s="24">
        <f t="shared" si="3"/>
        <v>5.812347497813176</v>
      </c>
      <c r="Y34" s="24">
        <f t="shared" si="4"/>
        <v>19.508770314442245</v>
      </c>
      <c r="Z34" s="24">
        <f t="shared" si="5"/>
        <v>12.439548170788514</v>
      </c>
      <c r="AA34" s="24">
        <f t="shared" si="5"/>
        <v>14.492677480530308</v>
      </c>
      <c r="AB34" s="24">
        <f t="shared" si="5"/>
        <v>1.8115846850662884</v>
      </c>
      <c r="AC34" s="24">
        <f t="shared" si="5"/>
        <v>12.198003546113009</v>
      </c>
      <c r="AD34" s="24">
        <f t="shared" si="6"/>
        <v>40.941813882498124</v>
      </c>
      <c r="AE34" s="30"/>
    </row>
    <row r="35" spans="1:30" ht="12.75">
      <c r="A35" s="3">
        <v>5</v>
      </c>
      <c r="B35" s="3" t="s">
        <v>9</v>
      </c>
      <c r="C35" s="3">
        <v>1</v>
      </c>
      <c r="D35" s="3">
        <v>68</v>
      </c>
      <c r="E35" s="3">
        <v>116</v>
      </c>
      <c r="F35" s="3">
        <v>23</v>
      </c>
      <c r="G35" s="3">
        <v>55</v>
      </c>
      <c r="H35" s="4" t="s">
        <v>63</v>
      </c>
      <c r="I35" s="1">
        <v>9.1602</v>
      </c>
      <c r="J35" s="1">
        <v>10.3798</v>
      </c>
      <c r="K35" s="1">
        <v>9.3324</v>
      </c>
      <c r="L35" s="1">
        <f t="shared" si="7"/>
        <v>85.8806165956051</v>
      </c>
      <c r="N35" s="1">
        <v>9.56</v>
      </c>
      <c r="O35" s="1">
        <f t="shared" si="0"/>
        <v>10.7796</v>
      </c>
      <c r="P35" s="21">
        <f t="shared" si="1"/>
        <v>34649.68152866242</v>
      </c>
      <c r="Q35" s="21">
        <f t="shared" si="1"/>
        <v>59108.28025477706</v>
      </c>
      <c r="R35" s="21">
        <f t="shared" si="1"/>
        <v>11719.745222929934</v>
      </c>
      <c r="S35" s="21">
        <f t="shared" si="1"/>
        <v>28025.477707006365</v>
      </c>
      <c r="T35" s="21">
        <f t="shared" si="2"/>
        <v>133503.18471337578</v>
      </c>
      <c r="U35" s="24">
        <f t="shared" si="3"/>
        <v>6.3082118074882185</v>
      </c>
      <c r="V35" s="24">
        <f t="shared" si="3"/>
        <v>10.761067201009313</v>
      </c>
      <c r="W35" s="24">
        <f t="shared" si="3"/>
        <v>2.1336598760621914</v>
      </c>
      <c r="X35" s="24">
        <f t="shared" si="3"/>
        <v>5.102230138409588</v>
      </c>
      <c r="Y35" s="24">
        <f t="shared" si="4"/>
        <v>24.30516902296931</v>
      </c>
      <c r="Z35" s="24">
        <f t="shared" si="5"/>
        <v>7.345326637781775</v>
      </c>
      <c r="AA35" s="24">
        <f t="shared" si="5"/>
        <v>12.530263087980675</v>
      </c>
      <c r="AB35" s="24">
        <f t="shared" si="5"/>
        <v>2.484448715720306</v>
      </c>
      <c r="AC35" s="24">
        <f t="shared" si="5"/>
        <v>5.941073015852907</v>
      </c>
      <c r="AD35" s="24">
        <f t="shared" si="6"/>
        <v>28.30111145733566</v>
      </c>
    </row>
    <row r="36" spans="1:30" ht="12.75">
      <c r="A36" s="26">
        <v>5</v>
      </c>
      <c r="B36" s="26" t="s">
        <v>9</v>
      </c>
      <c r="C36" s="26">
        <v>2</v>
      </c>
      <c r="D36" s="26">
        <v>34</v>
      </c>
      <c r="E36" s="26">
        <v>120</v>
      </c>
      <c r="F36" s="26">
        <v>15</v>
      </c>
      <c r="G36" s="26">
        <v>49</v>
      </c>
      <c r="H36" s="28" t="s">
        <v>174</v>
      </c>
      <c r="I36" s="1">
        <v>10.016</v>
      </c>
      <c r="J36" s="1">
        <v>11.3414</v>
      </c>
      <c r="K36" s="1">
        <v>10.3566</v>
      </c>
      <c r="L36" s="1">
        <f t="shared" si="7"/>
        <v>74.30209748000603</v>
      </c>
      <c r="N36" s="1">
        <v>6.95</v>
      </c>
      <c r="O36" s="1">
        <f t="shared" si="0"/>
        <v>8.275400000000001</v>
      </c>
      <c r="P36" s="21">
        <f t="shared" si="1"/>
        <v>17324.84076433121</v>
      </c>
      <c r="Q36" s="21">
        <f t="shared" si="1"/>
        <v>61146.49681528661</v>
      </c>
      <c r="R36" s="21">
        <f t="shared" si="1"/>
        <v>7643.312101910827</v>
      </c>
      <c r="S36" s="21">
        <f t="shared" si="1"/>
        <v>24968.152866242035</v>
      </c>
      <c r="T36" s="21">
        <f t="shared" si="2"/>
        <v>111082.80254777068</v>
      </c>
      <c r="U36" s="24">
        <f t="shared" si="3"/>
        <v>4.1085627280856505</v>
      </c>
      <c r="V36" s="24">
        <f t="shared" si="3"/>
        <v>14.500809628537592</v>
      </c>
      <c r="W36" s="24">
        <f t="shared" si="3"/>
        <v>1.812601203567199</v>
      </c>
      <c r="X36" s="24">
        <f t="shared" si="3"/>
        <v>5.92116393165285</v>
      </c>
      <c r="Y36" s="24">
        <f t="shared" si="4"/>
        <v>26.34313749184329</v>
      </c>
      <c r="Z36" s="24">
        <f t="shared" si="5"/>
        <v>5.5295380176733575</v>
      </c>
      <c r="AA36" s="24">
        <f t="shared" si="5"/>
        <v>19.51601653296479</v>
      </c>
      <c r="AB36" s="24">
        <f t="shared" si="5"/>
        <v>2.439502066620599</v>
      </c>
      <c r="AC36" s="24">
        <f t="shared" si="5"/>
        <v>7.969040084293956</v>
      </c>
      <c r="AD36" s="24">
        <f t="shared" si="6"/>
        <v>35.4540967015527</v>
      </c>
    </row>
    <row r="37" spans="1:30" ht="12.75">
      <c r="A37" s="3">
        <v>5</v>
      </c>
      <c r="B37" s="3" t="s">
        <v>10</v>
      </c>
      <c r="C37" s="3">
        <v>1</v>
      </c>
      <c r="D37" s="3">
        <v>35</v>
      </c>
      <c r="E37" s="3">
        <v>63</v>
      </c>
      <c r="F37" s="3">
        <v>21</v>
      </c>
      <c r="G37" s="3">
        <v>40</v>
      </c>
      <c r="H37" s="4" t="s">
        <v>64</v>
      </c>
      <c r="I37" s="1">
        <v>9.7593</v>
      </c>
      <c r="J37" s="1">
        <v>11.7181</v>
      </c>
      <c r="K37" s="1">
        <v>10.1587</v>
      </c>
      <c r="L37" s="1">
        <f t="shared" si="7"/>
        <v>79.60996528486828</v>
      </c>
      <c r="N37" s="1">
        <v>10.55</v>
      </c>
      <c r="O37" s="1">
        <f t="shared" si="0"/>
        <v>12.5088</v>
      </c>
      <c r="P37" s="21">
        <f t="shared" si="1"/>
        <v>17834.394904458597</v>
      </c>
      <c r="Q37" s="21">
        <f t="shared" si="1"/>
        <v>32101.910828025473</v>
      </c>
      <c r="R37" s="21">
        <f t="shared" si="1"/>
        <v>10700.636942675157</v>
      </c>
      <c r="S37" s="21">
        <f t="shared" si="1"/>
        <v>20382.16560509554</v>
      </c>
      <c r="T37" s="21">
        <f t="shared" si="2"/>
        <v>81019.10828025476</v>
      </c>
      <c r="U37" s="24">
        <f t="shared" si="3"/>
        <v>2.798030186748529</v>
      </c>
      <c r="V37" s="24">
        <f t="shared" si="3"/>
        <v>5.036454336147352</v>
      </c>
      <c r="W37" s="24">
        <f t="shared" si="3"/>
        <v>1.6788181120491172</v>
      </c>
      <c r="X37" s="24">
        <f t="shared" si="3"/>
        <v>3.1977487848554618</v>
      </c>
      <c r="Y37" s="24">
        <f t="shared" si="4"/>
        <v>12.71105141980046</v>
      </c>
      <c r="Z37" s="24">
        <f t="shared" si="5"/>
        <v>3.514673290883044</v>
      </c>
      <c r="AA37" s="24">
        <f t="shared" si="5"/>
        <v>6.32641192358948</v>
      </c>
      <c r="AB37" s="24">
        <f t="shared" si="5"/>
        <v>2.1088039745298266</v>
      </c>
      <c r="AC37" s="24">
        <f t="shared" si="5"/>
        <v>4.0167694752949075</v>
      </c>
      <c r="AD37" s="24">
        <f t="shared" si="6"/>
        <v>15.96665866429726</v>
      </c>
    </row>
    <row r="38" spans="1:30" ht="12.75">
      <c r="A38" s="26">
        <v>5</v>
      </c>
      <c r="B38" s="26" t="s">
        <v>10</v>
      </c>
      <c r="C38" s="26">
        <v>2</v>
      </c>
      <c r="D38" s="26">
        <v>180</v>
      </c>
      <c r="E38" s="26">
        <v>94</v>
      </c>
      <c r="F38" s="26">
        <v>12</v>
      </c>
      <c r="G38" s="26">
        <v>161</v>
      </c>
      <c r="H38" s="28" t="s">
        <v>180</v>
      </c>
      <c r="I38" s="1">
        <v>9.6163</v>
      </c>
      <c r="J38" s="1">
        <v>11.5424</v>
      </c>
      <c r="K38" s="1">
        <v>10.3851</v>
      </c>
      <c r="L38" s="1">
        <f t="shared" si="7"/>
        <v>60.08514615025186</v>
      </c>
      <c r="N38" s="1">
        <v>8.88</v>
      </c>
      <c r="O38" s="1">
        <f t="shared" si="0"/>
        <v>10.8061</v>
      </c>
      <c r="P38" s="21">
        <f t="shared" si="1"/>
        <v>91719.74522292992</v>
      </c>
      <c r="Q38" s="21">
        <f t="shared" si="1"/>
        <v>47898.08917197451</v>
      </c>
      <c r="R38" s="21">
        <f t="shared" si="1"/>
        <v>6114.649681528662</v>
      </c>
      <c r="S38" s="21">
        <f t="shared" si="1"/>
        <v>82038.21656050954</v>
      </c>
      <c r="T38" s="21">
        <f t="shared" si="2"/>
        <v>227770.70063694264</v>
      </c>
      <c r="U38" s="24">
        <f t="shared" si="3"/>
        <v>16.65725840034795</v>
      </c>
      <c r="V38" s="24">
        <f t="shared" si="3"/>
        <v>8.698790497959486</v>
      </c>
      <c r="W38" s="24">
        <f t="shared" si="3"/>
        <v>1.11048389335653</v>
      </c>
      <c r="X38" s="24">
        <f t="shared" si="3"/>
        <v>14.898992235866778</v>
      </c>
      <c r="Y38" s="24">
        <f t="shared" si="4"/>
        <v>41.365525027530744</v>
      </c>
      <c r="Z38" s="24">
        <f t="shared" si="5"/>
        <v>27.722755901590045</v>
      </c>
      <c r="AA38" s="24">
        <f t="shared" si="5"/>
        <v>14.477439193052579</v>
      </c>
      <c r="AB38" s="24">
        <f t="shared" si="5"/>
        <v>1.8481837267726697</v>
      </c>
      <c r="AC38" s="24">
        <f t="shared" si="5"/>
        <v>24.79646500086665</v>
      </c>
      <c r="AD38" s="24">
        <f t="shared" si="6"/>
        <v>68.84484382228194</v>
      </c>
    </row>
    <row r="39" spans="1:30" ht="12.75">
      <c r="A39" s="3">
        <v>5</v>
      </c>
      <c r="B39" s="3" t="s">
        <v>11</v>
      </c>
      <c r="C39" s="3">
        <v>1</v>
      </c>
      <c r="D39" s="3">
        <v>23</v>
      </c>
      <c r="E39" s="3">
        <v>19</v>
      </c>
      <c r="F39" s="3">
        <v>4</v>
      </c>
      <c r="G39" s="3">
        <v>24</v>
      </c>
      <c r="H39" s="4" t="s">
        <v>65</v>
      </c>
      <c r="I39" s="1">
        <v>8.6917</v>
      </c>
      <c r="J39" s="1">
        <v>9.9134</v>
      </c>
      <c r="K39" s="1">
        <v>8.8584</v>
      </c>
      <c r="L39" s="1">
        <f t="shared" si="7"/>
        <v>86.35507898829509</v>
      </c>
      <c r="N39" s="1">
        <v>16.53</v>
      </c>
      <c r="O39" s="1">
        <f t="shared" si="0"/>
        <v>17.7517</v>
      </c>
      <c r="P39" s="21">
        <f t="shared" si="1"/>
        <v>11719.745222929934</v>
      </c>
      <c r="Q39" s="21">
        <f t="shared" si="1"/>
        <v>9681.52866242038</v>
      </c>
      <c r="R39" s="21">
        <f t="shared" si="1"/>
        <v>2038.2165605095538</v>
      </c>
      <c r="S39" s="21">
        <f t="shared" si="1"/>
        <v>12229.299363057324</v>
      </c>
      <c r="T39" s="21">
        <f t="shared" si="2"/>
        <v>35668.789808917194</v>
      </c>
      <c r="U39" s="24">
        <f t="shared" si="3"/>
        <v>1.2956505574114028</v>
      </c>
      <c r="V39" s="24">
        <f t="shared" si="3"/>
        <v>1.0703200256876806</v>
      </c>
      <c r="W39" s="24">
        <f t="shared" si="3"/>
        <v>0.22533053172372225</v>
      </c>
      <c r="X39" s="24">
        <f t="shared" si="3"/>
        <v>1.3519831903423334</v>
      </c>
      <c r="Y39" s="24">
        <f t="shared" si="4"/>
        <v>3.9432843051651396</v>
      </c>
      <c r="Z39" s="24">
        <f t="shared" si="5"/>
        <v>1.5003756265303405</v>
      </c>
      <c r="AA39" s="24">
        <f t="shared" si="5"/>
        <v>1.2394407349598466</v>
      </c>
      <c r="AB39" s="24">
        <f t="shared" si="5"/>
        <v>0.260934891570494</v>
      </c>
      <c r="AC39" s="24">
        <f t="shared" si="5"/>
        <v>1.5656093494229641</v>
      </c>
      <c r="AD39" s="24">
        <f t="shared" si="6"/>
        <v>4.566360602483646</v>
      </c>
    </row>
    <row r="40" spans="1:30" ht="12.75">
      <c r="A40" s="26">
        <v>5</v>
      </c>
      <c r="B40" s="26" t="s">
        <v>11</v>
      </c>
      <c r="C40" s="26">
        <v>2</v>
      </c>
      <c r="D40" s="26">
        <v>12</v>
      </c>
      <c r="E40" s="26">
        <v>41</v>
      </c>
      <c r="F40" s="26">
        <v>3</v>
      </c>
      <c r="G40" s="26">
        <v>70</v>
      </c>
      <c r="H40" s="28" t="s">
        <v>181</v>
      </c>
      <c r="I40" s="1">
        <v>8.6234</v>
      </c>
      <c r="J40" s="1">
        <v>11.7744</v>
      </c>
      <c r="K40" s="1">
        <v>10.4429</v>
      </c>
      <c r="L40" s="1">
        <f t="shared" si="7"/>
        <v>42.25642653125992</v>
      </c>
      <c r="N40" s="1">
        <v>25.31</v>
      </c>
      <c r="O40" s="1">
        <f t="shared" si="0"/>
        <v>28.461</v>
      </c>
      <c r="P40" s="21">
        <f t="shared" si="1"/>
        <v>6114.649681528662</v>
      </c>
      <c r="Q40" s="21">
        <f t="shared" si="1"/>
        <v>20891.719745222927</v>
      </c>
      <c r="R40" s="21">
        <f t="shared" si="1"/>
        <v>1528.6624203821655</v>
      </c>
      <c r="S40" s="21">
        <f t="shared" si="1"/>
        <v>35668.789808917194</v>
      </c>
      <c r="T40" s="21">
        <f t="shared" si="2"/>
        <v>64203.821656050946</v>
      </c>
      <c r="U40" s="24">
        <f t="shared" si="3"/>
        <v>0.42162959839780756</v>
      </c>
      <c r="V40" s="24">
        <f t="shared" si="3"/>
        <v>1.4405677945258424</v>
      </c>
      <c r="W40" s="24">
        <f t="shared" si="3"/>
        <v>0.10540739959945189</v>
      </c>
      <c r="X40" s="24">
        <f t="shared" si="3"/>
        <v>2.459505990653877</v>
      </c>
      <c r="Y40" s="24">
        <f t="shared" si="4"/>
        <v>4.427110783176979</v>
      </c>
      <c r="Z40" s="24">
        <f t="shared" si="5"/>
        <v>0.9977881070608273</v>
      </c>
      <c r="AA40" s="24">
        <f t="shared" si="5"/>
        <v>3.4091093657911604</v>
      </c>
      <c r="AB40" s="24">
        <f t="shared" si="5"/>
        <v>0.24944702676520683</v>
      </c>
      <c r="AC40" s="24">
        <f t="shared" si="5"/>
        <v>5.820430624521493</v>
      </c>
      <c r="AD40" s="24">
        <f t="shared" si="6"/>
        <v>10.476775124138687</v>
      </c>
    </row>
    <row r="41" spans="1:30" ht="12.75">
      <c r="A41" s="3">
        <v>5</v>
      </c>
      <c r="B41" s="3" t="s">
        <v>12</v>
      </c>
      <c r="C41" s="3">
        <v>1</v>
      </c>
      <c r="D41" s="3">
        <v>238</v>
      </c>
      <c r="E41" s="3">
        <v>238</v>
      </c>
      <c r="F41" s="3">
        <v>21</v>
      </c>
      <c r="G41" s="3">
        <v>97</v>
      </c>
      <c r="H41" s="4" t="s">
        <v>66</v>
      </c>
      <c r="I41" s="1">
        <v>8.5709</v>
      </c>
      <c r="J41" s="1">
        <v>9.6362</v>
      </c>
      <c r="K41" s="1">
        <v>8.6655</v>
      </c>
      <c r="L41" s="1">
        <f t="shared" si="7"/>
        <v>91.11987233643107</v>
      </c>
      <c r="N41" s="1">
        <v>6.81</v>
      </c>
      <c r="O41" s="1">
        <f t="shared" si="0"/>
        <v>7.8753</v>
      </c>
      <c r="P41" s="21">
        <f t="shared" si="1"/>
        <v>121273.88535031845</v>
      </c>
      <c r="Q41" s="21">
        <f t="shared" si="1"/>
        <v>121273.88535031845</v>
      </c>
      <c r="R41" s="21">
        <f t="shared" si="1"/>
        <v>10700.636942675157</v>
      </c>
      <c r="S41" s="21">
        <f t="shared" si="1"/>
        <v>49426.75159235668</v>
      </c>
      <c r="T41" s="21">
        <f t="shared" si="2"/>
        <v>302675.1592356687</v>
      </c>
      <c r="U41" s="24">
        <f t="shared" si="3"/>
        <v>30.221070943329142</v>
      </c>
      <c r="V41" s="24">
        <f t="shared" si="3"/>
        <v>30.221070943329142</v>
      </c>
      <c r="W41" s="24">
        <f t="shared" si="3"/>
        <v>2.666565083234924</v>
      </c>
      <c r="X41" s="24">
        <f t="shared" si="3"/>
        <v>12.316991098751794</v>
      </c>
      <c r="Y41" s="24">
        <f t="shared" si="4"/>
        <v>75.425698068645</v>
      </c>
      <c r="Z41" s="24">
        <f t="shared" si="5"/>
        <v>33.16627884611984</v>
      </c>
      <c r="AA41" s="24">
        <f t="shared" si="5"/>
        <v>33.16627884611984</v>
      </c>
      <c r="AB41" s="24">
        <f t="shared" si="5"/>
        <v>2.92643636877528</v>
      </c>
      <c r="AC41" s="24">
        <f t="shared" si="5"/>
        <v>13.517348941485817</v>
      </c>
      <c r="AD41" s="24">
        <f t="shared" si="6"/>
        <v>82.77634300250078</v>
      </c>
    </row>
    <row r="42" spans="1:30" ht="12.75">
      <c r="A42" s="26">
        <v>5</v>
      </c>
      <c r="B42" s="26" t="s">
        <v>12</v>
      </c>
      <c r="C42" s="26">
        <v>2</v>
      </c>
      <c r="D42" s="26">
        <v>79</v>
      </c>
      <c r="E42" s="26">
        <v>116</v>
      </c>
      <c r="F42" s="26">
        <v>23</v>
      </c>
      <c r="G42" s="26">
        <v>151</v>
      </c>
      <c r="H42" s="28" t="s">
        <v>182</v>
      </c>
      <c r="I42" s="1">
        <v>7.7982</v>
      </c>
      <c r="J42" s="1">
        <v>9.0967</v>
      </c>
      <c r="K42" s="1">
        <v>8.1017</v>
      </c>
      <c r="L42" s="1">
        <f t="shared" si="7"/>
        <v>76.62687716596076</v>
      </c>
      <c r="N42" s="1">
        <v>10.53</v>
      </c>
      <c r="O42" s="1">
        <f t="shared" si="0"/>
        <v>11.8285</v>
      </c>
      <c r="P42" s="21">
        <f t="shared" si="1"/>
        <v>40254.77707006369</v>
      </c>
      <c r="Q42" s="21">
        <f t="shared" si="1"/>
        <v>59108.28025477706</v>
      </c>
      <c r="R42" s="21">
        <f t="shared" si="1"/>
        <v>11719.745222929934</v>
      </c>
      <c r="S42" s="21">
        <f t="shared" si="1"/>
        <v>76942.67515923566</v>
      </c>
      <c r="T42" s="21">
        <f t="shared" si="2"/>
        <v>188025.47770700633</v>
      </c>
      <c r="U42" s="24">
        <f t="shared" si="3"/>
        <v>6.678784292175678</v>
      </c>
      <c r="V42" s="24">
        <f t="shared" si="3"/>
        <v>9.806822504966817</v>
      </c>
      <c r="W42" s="24">
        <f t="shared" si="3"/>
        <v>1.9444561863296277</v>
      </c>
      <c r="X42" s="24">
        <f t="shared" si="3"/>
        <v>12.765777571120598</v>
      </c>
      <c r="Y42" s="24">
        <f t="shared" si="4"/>
        <v>31.19584055459272</v>
      </c>
      <c r="Z42" s="24">
        <f t="shared" si="5"/>
        <v>8.715981309939812</v>
      </c>
      <c r="AA42" s="24">
        <f t="shared" si="5"/>
        <v>12.798149771557192</v>
      </c>
      <c r="AB42" s="24">
        <f t="shared" si="5"/>
        <v>2.5375641788432364</v>
      </c>
      <c r="AC42" s="24">
        <f t="shared" si="5"/>
        <v>16.65966047849255</v>
      </c>
      <c r="AD42" s="24">
        <f t="shared" si="6"/>
        <v>40.71135573883279</v>
      </c>
    </row>
    <row r="43" ht="12.75">
      <c r="H43" s="2"/>
    </row>
    <row r="44" ht="12.75">
      <c r="H44" s="2"/>
    </row>
    <row r="45" spans="8:12" ht="12.75">
      <c r="H45" s="2"/>
      <c r="L45" s="1">
        <f>AVERAGE(L3:L10)</f>
        <v>45.258428534614694</v>
      </c>
    </row>
    <row r="46" spans="8:12" ht="12.75">
      <c r="H46" s="2"/>
      <c r="L46" s="1">
        <f>AVERAGE(L11:L18)</f>
        <v>58.33802378345939</v>
      </c>
    </row>
    <row r="47" spans="8:12" ht="12.75">
      <c r="H47" s="2"/>
      <c r="L47" s="1">
        <f>AVERAGE(L19:L26)</f>
        <v>49.42795369450284</v>
      </c>
    </row>
    <row r="48" spans="8:12" ht="12.75">
      <c r="H48" s="2"/>
      <c r="L48" s="1">
        <f>AVERAGE(L27:L34)</f>
        <v>48.00630801728559</v>
      </c>
    </row>
    <row r="49" spans="8:12" ht="12.75">
      <c r="H49" s="2"/>
      <c r="L49" s="1">
        <f>AVERAGE(L35:L42)</f>
        <v>74.52951006658476</v>
      </c>
    </row>
    <row r="50" ht="12.75">
      <c r="H50" s="2"/>
    </row>
    <row r="51" ht="12.75">
      <c r="H51" s="2"/>
    </row>
    <row r="52" ht="12.75">
      <c r="H52" s="2"/>
    </row>
  </sheetData>
  <mergeCells count="4">
    <mergeCell ref="A1:H1"/>
    <mergeCell ref="I1:I2"/>
    <mergeCell ref="J1:J2"/>
    <mergeCell ref="K1:K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9"/>
  <sheetViews>
    <sheetView workbookViewId="0" topLeftCell="A1">
      <pane xSplit="3" ySplit="2" topLeftCell="I1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24" sqref="L24"/>
    </sheetView>
  </sheetViews>
  <sheetFormatPr defaultColWidth="9.140625" defaultRowHeight="12.75"/>
  <cols>
    <col min="1" max="2" width="9.140625" style="3" customWidth="1"/>
    <col min="3" max="3" width="6.28125" style="3" customWidth="1"/>
    <col min="4" max="7" width="9.140625" style="3" customWidth="1"/>
    <col min="8" max="8" width="21.8515625" style="3" customWidth="1"/>
    <col min="9" max="9" width="9.140625" style="3" customWidth="1"/>
    <col min="10" max="10" width="13.28125" style="3" customWidth="1"/>
    <col min="11" max="11" width="10.57421875" style="3" customWidth="1"/>
    <col min="12" max="16384" width="9.140625" style="3" customWidth="1"/>
  </cols>
  <sheetData>
    <row r="1" spans="1:31" ht="12.75" customHeight="1">
      <c r="A1" s="52" t="s">
        <v>124</v>
      </c>
      <c r="B1" s="52"/>
      <c r="C1" s="52"/>
      <c r="D1" s="52"/>
      <c r="E1" s="52"/>
      <c r="F1" s="52"/>
      <c r="G1" s="52"/>
      <c r="H1" s="52"/>
      <c r="I1" s="53" t="s">
        <v>115</v>
      </c>
      <c r="J1" s="53" t="s">
        <v>116</v>
      </c>
      <c r="K1" s="53" t="s">
        <v>117</v>
      </c>
      <c r="L1" s="1"/>
      <c r="M1" s="13" t="s">
        <v>187</v>
      </c>
      <c r="N1" s="13" t="s">
        <v>185</v>
      </c>
      <c r="O1" s="13" t="s">
        <v>188</v>
      </c>
      <c r="P1" s="19"/>
      <c r="Q1" s="19"/>
      <c r="R1" s="19"/>
      <c r="S1" s="19"/>
      <c r="T1" s="19"/>
      <c r="U1" s="22"/>
      <c r="V1" s="22"/>
      <c r="W1" s="22"/>
      <c r="X1" s="22"/>
      <c r="Y1" s="22"/>
      <c r="Z1" s="22"/>
      <c r="AA1" s="22"/>
      <c r="AB1" s="22"/>
      <c r="AC1" s="23"/>
      <c r="AD1" s="23"/>
      <c r="AE1" t="s">
        <v>190</v>
      </c>
    </row>
    <row r="2" spans="1:36" ht="25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3"/>
      <c r="J2" s="53"/>
      <c r="K2" s="53"/>
      <c r="L2" s="1" t="s">
        <v>123</v>
      </c>
      <c r="M2" s="14" t="s">
        <v>184</v>
      </c>
      <c r="N2" s="14" t="s">
        <v>186</v>
      </c>
      <c r="O2" t="s">
        <v>189</v>
      </c>
      <c r="P2" s="20" t="s">
        <v>248</v>
      </c>
      <c r="Q2" s="20" t="s">
        <v>249</v>
      </c>
      <c r="R2" s="20" t="s">
        <v>250</v>
      </c>
      <c r="S2" s="20" t="s">
        <v>251</v>
      </c>
      <c r="T2" s="20" t="s">
        <v>252</v>
      </c>
      <c r="U2" s="23" t="s">
        <v>253</v>
      </c>
      <c r="V2" s="23" t="s">
        <v>254</v>
      </c>
      <c r="W2" s="23" t="s">
        <v>255</v>
      </c>
      <c r="X2" s="23" t="s">
        <v>256</v>
      </c>
      <c r="Y2" s="23" t="s">
        <v>257</v>
      </c>
      <c r="Z2" s="23" t="s">
        <v>258</v>
      </c>
      <c r="AA2" s="23" t="s">
        <v>259</v>
      </c>
      <c r="AB2" s="23" t="s">
        <v>260</v>
      </c>
      <c r="AC2" s="23" t="s">
        <v>261</v>
      </c>
      <c r="AD2" s="23" t="s">
        <v>262</v>
      </c>
      <c r="AE2" s="6" t="s">
        <v>305</v>
      </c>
      <c r="AF2" s="6" t="s">
        <v>308</v>
      </c>
      <c r="AG2" s="6" t="s">
        <v>306</v>
      </c>
      <c r="AH2" s="6" t="s">
        <v>308</v>
      </c>
      <c r="AI2" s="6" t="s">
        <v>307</v>
      </c>
      <c r="AJ2" s="1" t="s">
        <v>308</v>
      </c>
    </row>
    <row r="3" spans="1:36" ht="12.75">
      <c r="A3" s="1">
        <v>1</v>
      </c>
      <c r="B3" s="1" t="s">
        <v>9</v>
      </c>
      <c r="C3" s="3">
        <v>1</v>
      </c>
      <c r="D3" s="3">
        <v>99</v>
      </c>
      <c r="E3" s="3">
        <v>150</v>
      </c>
      <c r="F3" s="3">
        <v>28</v>
      </c>
      <c r="G3" s="3">
        <v>113</v>
      </c>
      <c r="H3" s="4" t="s">
        <v>107</v>
      </c>
      <c r="I3" s="7">
        <v>8.7303</v>
      </c>
      <c r="J3" s="7">
        <v>10.4268</v>
      </c>
      <c r="K3" s="7">
        <v>9.7509</v>
      </c>
      <c r="L3" s="3">
        <f>100*(J3-K3)/(J3-I3)</f>
        <v>39.84084880636606</v>
      </c>
      <c r="N3" s="3">
        <v>19.21</v>
      </c>
      <c r="O3" s="3">
        <f>N3+(J3-I3)</f>
        <v>20.9065</v>
      </c>
      <c r="P3" s="21">
        <f>D3/((0.025*0.025)*3.14)</f>
        <v>50445.85987261146</v>
      </c>
      <c r="Q3" s="21">
        <f>E3/((0.025*0.025)*3.14)</f>
        <v>76433.12101910826</v>
      </c>
      <c r="R3" s="21">
        <f>F3/((0.025*0.025)*3.14)</f>
        <v>14267.515923566876</v>
      </c>
      <c r="S3" s="21">
        <f>G3/((0.025*0.025)*3.14)</f>
        <v>57579.6178343949</v>
      </c>
      <c r="T3" s="21">
        <f>SUM(P3:S3)</f>
        <v>198726.1146496815</v>
      </c>
      <c r="U3" s="24">
        <f>D3/$O3</f>
        <v>4.73536938272786</v>
      </c>
      <c r="V3" s="24">
        <f>E3/$O3</f>
        <v>7.174802095042211</v>
      </c>
      <c r="W3" s="24">
        <f>F3/$O3</f>
        <v>1.3392963910745461</v>
      </c>
      <c r="X3" s="24">
        <f>G3/$O3</f>
        <v>5.405017578265133</v>
      </c>
      <c r="Y3" s="24">
        <f>SUM(U3:X3)</f>
        <v>18.65448544710975</v>
      </c>
      <c r="Z3" s="24">
        <f>D3/($O3*($L3/100))</f>
        <v>11.885714096460733</v>
      </c>
      <c r="AA3" s="24">
        <f>E3/($O3*($L3/100))</f>
        <v>18.0086577219102</v>
      </c>
      <c r="AB3" s="24">
        <f>F3/($O3*($L3/100))</f>
        <v>3.3616161080899043</v>
      </c>
      <c r="AC3" s="24">
        <f>G3/($O3*($L3/100))</f>
        <v>13.566522150505685</v>
      </c>
      <c r="AD3" s="24">
        <f>SUM(Z3:AC3)</f>
        <v>46.82251007696652</v>
      </c>
      <c r="AE3" s="21">
        <f>AVERAGE(T3:T4)</f>
        <v>164585.98726114645</v>
      </c>
      <c r="AF3" s="34">
        <f>STDEV(T3:T4)/SQRT(2)</f>
        <v>34140.12738853509</v>
      </c>
      <c r="AG3" s="35">
        <f>AVERAGE(Y3:Y4)</f>
        <v>13.734364356668884</v>
      </c>
      <c r="AH3" s="35">
        <f>STDEV(Y3:Y4)/SQRT(2)</f>
        <v>4.920121090440867</v>
      </c>
      <c r="AI3" s="35">
        <f>AVERAGE(AD3:AD4)</f>
        <v>36.75410261683914</v>
      </c>
      <c r="AJ3" s="35">
        <f>STDEV(AD3:AD4)/SQRT(2)</f>
        <v>10.068407460127377</v>
      </c>
    </row>
    <row r="4" spans="1:36" ht="12.75">
      <c r="A4" s="1">
        <v>1</v>
      </c>
      <c r="B4" s="1" t="s">
        <v>9</v>
      </c>
      <c r="C4" s="3">
        <v>2</v>
      </c>
      <c r="D4" s="3">
        <v>112</v>
      </c>
      <c r="E4" s="3">
        <v>73</v>
      </c>
      <c r="F4" s="3">
        <v>4</v>
      </c>
      <c r="G4" s="3">
        <v>67</v>
      </c>
      <c r="H4" s="4" t="s">
        <v>111</v>
      </c>
      <c r="I4" s="7">
        <v>8.5587</v>
      </c>
      <c r="J4" s="7">
        <v>9.9426</v>
      </c>
      <c r="K4" s="7">
        <v>9.4855</v>
      </c>
      <c r="L4" s="3">
        <f>100*(J4-K4)/(J4-I4)</f>
        <v>33.0298431967628</v>
      </c>
      <c r="N4" s="3">
        <v>27.66</v>
      </c>
      <c r="O4" s="3">
        <f aca="true" t="shared" si="0" ref="O4:O42">N4+(J4-I4)</f>
        <v>29.0439</v>
      </c>
      <c r="P4" s="21">
        <f aca="true" t="shared" si="1" ref="P4:S42">D4/((0.025*0.025)*3.14)</f>
        <v>57070.063694267505</v>
      </c>
      <c r="Q4" s="21">
        <f t="shared" si="1"/>
        <v>37197.45222929936</v>
      </c>
      <c r="R4" s="21">
        <f t="shared" si="1"/>
        <v>2038.2165605095538</v>
      </c>
      <c r="S4" s="21">
        <f t="shared" si="1"/>
        <v>34140.127388535024</v>
      </c>
      <c r="T4" s="21">
        <f aca="true" t="shared" si="2" ref="T4:T42">SUM(P4:S4)</f>
        <v>130445.85987261143</v>
      </c>
      <c r="U4" s="24">
        <f aca="true" t="shared" si="3" ref="U4:X42">D4/$O4</f>
        <v>3.856231428974759</v>
      </c>
      <c r="V4" s="24">
        <f t="shared" si="3"/>
        <v>2.513436556385334</v>
      </c>
      <c r="W4" s="24">
        <f t="shared" si="3"/>
        <v>0.13772255103481282</v>
      </c>
      <c r="X4" s="24">
        <f t="shared" si="3"/>
        <v>2.3068527298331145</v>
      </c>
      <c r="Y4" s="24">
        <f aca="true" t="shared" si="4" ref="Y4:Y42">SUM(U4:X4)</f>
        <v>8.81424326622802</v>
      </c>
      <c r="Z4" s="24">
        <f aca="true" t="shared" si="5" ref="Z4:AC42">D4/($O4*($L4/100))</f>
        <v>11.674991631061397</v>
      </c>
      <c r="AA4" s="24">
        <f t="shared" si="5"/>
        <v>7.609592759531089</v>
      </c>
      <c r="AB4" s="24">
        <f t="shared" si="5"/>
        <v>0.4169639868236213</v>
      </c>
      <c r="AC4" s="24">
        <f t="shared" si="5"/>
        <v>6.984146779295657</v>
      </c>
      <c r="AD4" s="24">
        <f aca="true" t="shared" si="6" ref="AD4:AD42">SUM(Z4:AC4)</f>
        <v>26.685695156711763</v>
      </c>
      <c r="AE4" s="21"/>
      <c r="AF4" s="34"/>
      <c r="AG4" s="35"/>
      <c r="AH4" s="35"/>
      <c r="AI4" s="35"/>
      <c r="AJ4" s="35"/>
    </row>
    <row r="5" spans="1:36" ht="12.75">
      <c r="A5" s="1">
        <v>1</v>
      </c>
      <c r="B5" s="1" t="s">
        <v>10</v>
      </c>
      <c r="C5" s="3">
        <v>1</v>
      </c>
      <c r="D5" s="3">
        <v>102</v>
      </c>
      <c r="E5" s="3">
        <v>152</v>
      </c>
      <c r="F5" s="3">
        <v>25</v>
      </c>
      <c r="G5" s="3">
        <v>73</v>
      </c>
      <c r="H5" s="4" t="s">
        <v>108</v>
      </c>
      <c r="I5" s="7">
        <v>7.5225</v>
      </c>
      <c r="J5" s="7">
        <v>10.2601</v>
      </c>
      <c r="K5" s="7">
        <v>9.4987</v>
      </c>
      <c r="L5" s="3">
        <f aca="true" t="shared" si="7" ref="L5:L42">100*(J5-K5)/(J5-I5)</f>
        <v>27.812682641729992</v>
      </c>
      <c r="N5" s="3">
        <v>25.47</v>
      </c>
      <c r="O5" s="3">
        <f t="shared" si="0"/>
        <v>28.2076</v>
      </c>
      <c r="P5" s="21">
        <f t="shared" si="1"/>
        <v>51974.52229299362</v>
      </c>
      <c r="Q5" s="21">
        <f t="shared" si="1"/>
        <v>77452.22929936304</v>
      </c>
      <c r="R5" s="21">
        <f t="shared" si="1"/>
        <v>12738.853503184711</v>
      </c>
      <c r="S5" s="21">
        <f t="shared" si="1"/>
        <v>37197.45222929936</v>
      </c>
      <c r="T5" s="21">
        <f t="shared" si="2"/>
        <v>179363.05732484072</v>
      </c>
      <c r="U5" s="24">
        <f t="shared" si="3"/>
        <v>3.6160467391766757</v>
      </c>
      <c r="V5" s="24">
        <f t="shared" si="3"/>
        <v>5.388618670145634</v>
      </c>
      <c r="W5" s="24">
        <f t="shared" si="3"/>
        <v>0.8862859654844794</v>
      </c>
      <c r="X5" s="24">
        <f t="shared" si="3"/>
        <v>2.5879550192146796</v>
      </c>
      <c r="Y5" s="24">
        <f t="shared" si="4"/>
        <v>12.478906394021468</v>
      </c>
      <c r="Z5" s="24">
        <f t="shared" si="5"/>
        <v>13.001430986564309</v>
      </c>
      <c r="AA5" s="24">
        <f t="shared" si="5"/>
        <v>19.374681470174263</v>
      </c>
      <c r="AB5" s="24">
        <f t="shared" si="5"/>
        <v>3.1866252418049776</v>
      </c>
      <c r="AC5" s="24">
        <f t="shared" si="5"/>
        <v>9.304945706070535</v>
      </c>
      <c r="AD5" s="24">
        <f t="shared" si="6"/>
        <v>44.86768340461408</v>
      </c>
      <c r="AE5" s="21">
        <f aca="true" t="shared" si="8" ref="AE5:AE41">AVERAGE(T5:T6)</f>
        <v>165350.31847133755</v>
      </c>
      <c r="AF5" s="34">
        <f aca="true" t="shared" si="9" ref="AF5:AF41">STDEV(T5:T6)/SQRT(2)</f>
        <v>14012.73885350297</v>
      </c>
      <c r="AG5" s="35">
        <f aca="true" t="shared" si="10" ref="AG5:AG41">AVERAGE(Y5:Y6)</f>
        <v>16.719710086809243</v>
      </c>
      <c r="AH5" s="35">
        <f aca="true" t="shared" si="11" ref="AH5:AH41">STDEV(Y5:Y6)/SQRT(2)</f>
        <v>4.2408036927877735</v>
      </c>
      <c r="AI5" s="35">
        <f aca="true" t="shared" si="12" ref="AI5:AI41">AVERAGE(AD5:AD6)</f>
        <v>39.942639025063414</v>
      </c>
      <c r="AJ5" s="35">
        <f aca="true" t="shared" si="13" ref="AJ5:AJ41">STDEV(AD5:AD6)/SQRT(2)</f>
        <v>4.925044379550651</v>
      </c>
    </row>
    <row r="6" spans="1:36" ht="12.75">
      <c r="A6" s="1">
        <v>1</v>
      </c>
      <c r="B6" s="1" t="s">
        <v>10</v>
      </c>
      <c r="C6" s="3">
        <v>2</v>
      </c>
      <c r="D6" s="3">
        <v>74</v>
      </c>
      <c r="E6" s="3">
        <v>170</v>
      </c>
      <c r="F6" s="3">
        <v>11</v>
      </c>
      <c r="G6" s="3">
        <v>42</v>
      </c>
      <c r="H6" s="4" t="s">
        <v>125</v>
      </c>
      <c r="I6" s="7">
        <v>7.7303</v>
      </c>
      <c r="J6" s="7">
        <v>9.1298</v>
      </c>
      <c r="K6" s="7">
        <v>8.2921</v>
      </c>
      <c r="L6" s="3">
        <f t="shared" si="7"/>
        <v>59.85709181850661</v>
      </c>
      <c r="N6" s="3">
        <v>12.77</v>
      </c>
      <c r="O6" s="3">
        <f t="shared" si="0"/>
        <v>14.1695</v>
      </c>
      <c r="P6" s="21">
        <f t="shared" si="1"/>
        <v>37707.006369426745</v>
      </c>
      <c r="Q6" s="21">
        <f t="shared" si="1"/>
        <v>86624.20382165603</v>
      </c>
      <c r="R6" s="21">
        <f t="shared" si="1"/>
        <v>5605.095541401273</v>
      </c>
      <c r="S6" s="21">
        <f t="shared" si="1"/>
        <v>21401.273885350314</v>
      </c>
      <c r="T6" s="21">
        <f t="shared" si="2"/>
        <v>151337.57961783436</v>
      </c>
      <c r="U6" s="24">
        <f t="shared" si="3"/>
        <v>5.22248491478175</v>
      </c>
      <c r="V6" s="24">
        <f t="shared" si="3"/>
        <v>11.997600479904019</v>
      </c>
      <c r="W6" s="24">
        <f t="shared" si="3"/>
        <v>0.7763153251702601</v>
      </c>
      <c r="X6" s="24">
        <f t="shared" si="3"/>
        <v>2.9641130597409933</v>
      </c>
      <c r="Y6" s="24">
        <f t="shared" si="4"/>
        <v>20.96051377959702</v>
      </c>
      <c r="Z6" s="24">
        <f t="shared" si="5"/>
        <v>8.724922571609238</v>
      </c>
      <c r="AA6" s="24">
        <f t="shared" si="5"/>
        <v>20.043741042886086</v>
      </c>
      <c r="AB6" s="24">
        <f t="shared" si="5"/>
        <v>1.2969479498338057</v>
      </c>
      <c r="AC6" s="24">
        <f t="shared" si="5"/>
        <v>4.951983081183621</v>
      </c>
      <c r="AD6" s="24">
        <f t="shared" si="6"/>
        <v>35.01759464551275</v>
      </c>
      <c r="AE6" s="21"/>
      <c r="AF6" s="34"/>
      <c r="AG6" s="35"/>
      <c r="AH6" s="35"/>
      <c r="AI6" s="35"/>
      <c r="AJ6" s="35"/>
    </row>
    <row r="7" spans="1:36" ht="12.75">
      <c r="A7" s="1">
        <v>1</v>
      </c>
      <c r="B7" s="1" t="s">
        <v>11</v>
      </c>
      <c r="C7" s="3">
        <v>1</v>
      </c>
      <c r="D7" s="3">
        <v>120</v>
      </c>
      <c r="E7" s="3">
        <v>222</v>
      </c>
      <c r="F7" s="3">
        <v>47</v>
      </c>
      <c r="G7" s="3">
        <v>63</v>
      </c>
      <c r="H7" s="4" t="s">
        <v>109</v>
      </c>
      <c r="I7" s="7">
        <v>8.0573</v>
      </c>
      <c r="J7" s="7">
        <v>9.9542</v>
      </c>
      <c r="K7" s="7">
        <v>9.1685</v>
      </c>
      <c r="L7" s="3">
        <f t="shared" si="7"/>
        <v>41.42021192471928</v>
      </c>
      <c r="N7" s="3">
        <v>12.9</v>
      </c>
      <c r="O7" s="3">
        <f t="shared" si="0"/>
        <v>14.7969</v>
      </c>
      <c r="P7" s="21">
        <f t="shared" si="1"/>
        <v>61146.49681528661</v>
      </c>
      <c r="Q7" s="21">
        <f t="shared" si="1"/>
        <v>113121.01910828023</v>
      </c>
      <c r="R7" s="21">
        <f t="shared" si="1"/>
        <v>23949.044585987256</v>
      </c>
      <c r="S7" s="21">
        <f t="shared" si="1"/>
        <v>32101.910828025473</v>
      </c>
      <c r="T7" s="21">
        <f t="shared" si="2"/>
        <v>230318.4713375796</v>
      </c>
      <c r="U7" s="24">
        <f t="shared" si="3"/>
        <v>8.109806783853374</v>
      </c>
      <c r="V7" s="24">
        <f t="shared" si="3"/>
        <v>15.003142550128743</v>
      </c>
      <c r="W7" s="24">
        <f t="shared" si="3"/>
        <v>3.1763409903425717</v>
      </c>
      <c r="X7" s="24">
        <f t="shared" si="3"/>
        <v>4.2576485615230215</v>
      </c>
      <c r="Y7" s="24">
        <f t="shared" si="4"/>
        <v>30.54693888584771</v>
      </c>
      <c r="Z7" s="24">
        <f t="shared" si="5"/>
        <v>19.57934642776055</v>
      </c>
      <c r="AA7" s="24">
        <f t="shared" si="5"/>
        <v>36.221790891357024</v>
      </c>
      <c r="AB7" s="24">
        <f t="shared" si="5"/>
        <v>7.668577350872883</v>
      </c>
      <c r="AC7" s="24">
        <f t="shared" si="5"/>
        <v>10.27915687457429</v>
      </c>
      <c r="AD7" s="24">
        <f t="shared" si="6"/>
        <v>73.74887154456474</v>
      </c>
      <c r="AE7" s="21">
        <f t="shared" si="8"/>
        <v>233630.5732484076</v>
      </c>
      <c r="AF7" s="34">
        <f t="shared" si="9"/>
        <v>3312.1019108280584</v>
      </c>
      <c r="AG7" s="35">
        <f t="shared" si="10"/>
        <v>32.66067694522346</v>
      </c>
      <c r="AH7" s="35">
        <f t="shared" si="11"/>
        <v>2.1137380593756996</v>
      </c>
      <c r="AI7" s="35">
        <f t="shared" si="12"/>
        <v>82.02583754911512</v>
      </c>
      <c r="AJ7" s="35">
        <f t="shared" si="13"/>
        <v>8.27696600455033</v>
      </c>
    </row>
    <row r="8" spans="1:36" ht="12.75">
      <c r="A8" s="1">
        <v>1</v>
      </c>
      <c r="B8" s="1" t="s">
        <v>11</v>
      </c>
      <c r="C8" s="3">
        <v>2</v>
      </c>
      <c r="D8" s="3">
        <v>157</v>
      </c>
      <c r="E8" s="3">
        <v>206</v>
      </c>
      <c r="F8" s="3">
        <v>62</v>
      </c>
      <c r="G8" s="3">
        <v>40</v>
      </c>
      <c r="H8" s="4" t="s">
        <v>126</v>
      </c>
      <c r="I8" s="7">
        <v>8.2422</v>
      </c>
      <c r="J8" s="7">
        <v>10.1841</v>
      </c>
      <c r="K8" s="7">
        <v>9.4363</v>
      </c>
      <c r="L8" s="3">
        <f t="shared" si="7"/>
        <v>38.50867706885017</v>
      </c>
      <c r="N8" s="3">
        <v>11.43</v>
      </c>
      <c r="O8" s="3">
        <f t="shared" si="0"/>
        <v>13.3719</v>
      </c>
      <c r="P8" s="21">
        <f t="shared" si="1"/>
        <v>79999.99999999999</v>
      </c>
      <c r="Q8" s="21">
        <f t="shared" si="1"/>
        <v>104968.15286624202</v>
      </c>
      <c r="R8" s="21">
        <f t="shared" si="1"/>
        <v>31592.356687898086</v>
      </c>
      <c r="S8" s="21">
        <f t="shared" si="1"/>
        <v>20382.16560509554</v>
      </c>
      <c r="T8" s="21">
        <f t="shared" si="2"/>
        <v>236942.6751592356</v>
      </c>
      <c r="U8" s="24">
        <f t="shared" si="3"/>
        <v>11.7410390445636</v>
      </c>
      <c r="V8" s="24">
        <f t="shared" si="3"/>
        <v>15.405439765478354</v>
      </c>
      <c r="W8" s="24">
        <f t="shared" si="3"/>
        <v>4.636588667279893</v>
      </c>
      <c r="X8" s="24">
        <f t="shared" si="3"/>
        <v>2.9913475272773504</v>
      </c>
      <c r="Y8" s="24">
        <f t="shared" si="4"/>
        <v>34.7744150045992</v>
      </c>
      <c r="Z8" s="24">
        <f t="shared" si="5"/>
        <v>30.489333672958026</v>
      </c>
      <c r="AA8" s="24">
        <f t="shared" si="5"/>
        <v>40.005112972161484</v>
      </c>
      <c r="AB8" s="24">
        <f t="shared" si="5"/>
        <v>12.0403738071554</v>
      </c>
      <c r="AC8" s="24">
        <f t="shared" si="5"/>
        <v>7.76798310139058</v>
      </c>
      <c r="AD8" s="24">
        <f t="shared" si="6"/>
        <v>90.3028035536655</v>
      </c>
      <c r="AE8" s="21"/>
      <c r="AF8" s="34"/>
      <c r="AG8" s="35"/>
      <c r="AH8" s="35"/>
      <c r="AI8" s="35"/>
      <c r="AJ8" s="35"/>
    </row>
    <row r="9" spans="1:36" ht="12.75">
      <c r="A9" s="1">
        <v>1</v>
      </c>
      <c r="B9" s="1" t="s">
        <v>12</v>
      </c>
      <c r="C9" s="3">
        <v>1</v>
      </c>
      <c r="D9" s="3">
        <v>87</v>
      </c>
      <c r="E9" s="3">
        <v>46</v>
      </c>
      <c r="F9" s="3">
        <v>22</v>
      </c>
      <c r="G9" s="3">
        <v>29</v>
      </c>
      <c r="H9" s="4" t="s">
        <v>110</v>
      </c>
      <c r="I9" s="7">
        <v>7.807</v>
      </c>
      <c r="J9" s="7">
        <v>8.9452</v>
      </c>
      <c r="K9" s="7">
        <v>8.0808</v>
      </c>
      <c r="L9" s="3">
        <f t="shared" si="7"/>
        <v>75.94447373045162</v>
      </c>
      <c r="N9" s="3">
        <v>8.25</v>
      </c>
      <c r="O9" s="3">
        <f t="shared" si="0"/>
        <v>9.3882</v>
      </c>
      <c r="P9" s="21">
        <f t="shared" si="1"/>
        <v>44331.2101910828</v>
      </c>
      <c r="Q9" s="21">
        <f t="shared" si="1"/>
        <v>23439.49044585987</v>
      </c>
      <c r="R9" s="21">
        <f t="shared" si="1"/>
        <v>11210.191082802547</v>
      </c>
      <c r="S9" s="21">
        <f t="shared" si="1"/>
        <v>14777.070063694266</v>
      </c>
      <c r="T9" s="21">
        <f t="shared" si="2"/>
        <v>93757.96178343947</v>
      </c>
      <c r="U9" s="24">
        <f t="shared" si="3"/>
        <v>9.266952131398991</v>
      </c>
      <c r="V9" s="24">
        <f t="shared" si="3"/>
        <v>4.899767793613259</v>
      </c>
      <c r="W9" s="24">
        <f t="shared" si="3"/>
        <v>2.343367205641124</v>
      </c>
      <c r="X9" s="24">
        <f t="shared" si="3"/>
        <v>3.0889840437996634</v>
      </c>
      <c r="Y9" s="24">
        <f t="shared" si="4"/>
        <v>19.599071174453037</v>
      </c>
      <c r="Z9" s="24">
        <f t="shared" si="5"/>
        <v>12.20227315589811</v>
      </c>
      <c r="AA9" s="24">
        <f t="shared" si="5"/>
        <v>6.451776611164519</v>
      </c>
      <c r="AB9" s="24">
        <f t="shared" si="5"/>
        <v>3.085632292296074</v>
      </c>
      <c r="AC9" s="24">
        <f t="shared" si="5"/>
        <v>4.06742438529937</v>
      </c>
      <c r="AD9" s="24">
        <f t="shared" si="6"/>
        <v>25.807106444658075</v>
      </c>
      <c r="AE9" s="21">
        <f t="shared" si="8"/>
        <v>218089.1719745223</v>
      </c>
      <c r="AF9" s="34">
        <f t="shared" si="9"/>
        <v>124331.21019108278</v>
      </c>
      <c r="AG9" s="35">
        <f t="shared" si="10"/>
        <v>31.727499614923627</v>
      </c>
      <c r="AH9" s="35">
        <f t="shared" si="11"/>
        <v>12.128428440470582</v>
      </c>
      <c r="AI9" s="35">
        <f t="shared" si="12"/>
        <v>63.960362562492065</v>
      </c>
      <c r="AJ9" s="35">
        <f t="shared" si="13"/>
        <v>38.15325611783398</v>
      </c>
    </row>
    <row r="10" spans="1:36" ht="12.75">
      <c r="A10" s="1">
        <v>1</v>
      </c>
      <c r="B10" s="1" t="s">
        <v>12</v>
      </c>
      <c r="C10" s="3">
        <v>2</v>
      </c>
      <c r="D10" s="3">
        <v>165</v>
      </c>
      <c r="E10" s="3">
        <f>326+38</f>
        <v>364</v>
      </c>
      <c r="F10" s="3">
        <v>55</v>
      </c>
      <c r="G10" s="3">
        <v>88</v>
      </c>
      <c r="H10" s="4" t="s">
        <v>127</v>
      </c>
      <c r="I10" s="7">
        <v>7.9186</v>
      </c>
      <c r="J10" s="7">
        <v>10.1315</v>
      </c>
      <c r="K10" s="7">
        <v>9.1811</v>
      </c>
      <c r="L10" s="3">
        <f t="shared" si="7"/>
        <v>42.948167562926464</v>
      </c>
      <c r="N10" s="3">
        <v>13.11</v>
      </c>
      <c r="O10" s="3">
        <f t="shared" si="0"/>
        <v>15.3229</v>
      </c>
      <c r="P10" s="21">
        <f t="shared" si="1"/>
        <v>84076.4331210191</v>
      </c>
      <c r="Q10" s="21">
        <f t="shared" si="1"/>
        <v>185477.7070063694</v>
      </c>
      <c r="R10" s="21">
        <f t="shared" si="1"/>
        <v>28025.477707006365</v>
      </c>
      <c r="S10" s="21">
        <f t="shared" si="1"/>
        <v>44840.764331210186</v>
      </c>
      <c r="T10" s="21">
        <f t="shared" si="2"/>
        <v>342420.3821656051</v>
      </c>
      <c r="U10" s="24">
        <f t="shared" si="3"/>
        <v>10.768196620744115</v>
      </c>
      <c r="V10" s="24">
        <f t="shared" si="3"/>
        <v>23.755294363338532</v>
      </c>
      <c r="W10" s="24">
        <f t="shared" si="3"/>
        <v>3.5893988735813713</v>
      </c>
      <c r="X10" s="24">
        <f t="shared" si="3"/>
        <v>5.743038197730194</v>
      </c>
      <c r="Y10" s="24">
        <f t="shared" si="4"/>
        <v>43.855928055394216</v>
      </c>
      <c r="Z10" s="24">
        <f t="shared" si="5"/>
        <v>25.072540300972914</v>
      </c>
      <c r="AA10" s="24">
        <f t="shared" si="5"/>
        <v>55.31154345184328</v>
      </c>
      <c r="AB10" s="24">
        <f t="shared" si="5"/>
        <v>8.357513433657639</v>
      </c>
      <c r="AC10" s="24">
        <f t="shared" si="5"/>
        <v>13.372021493852221</v>
      </c>
      <c r="AD10" s="24">
        <f t="shared" si="6"/>
        <v>102.11361868032606</v>
      </c>
      <c r="AE10" s="21"/>
      <c r="AF10" s="34"/>
      <c r="AG10" s="35"/>
      <c r="AH10" s="35"/>
      <c r="AI10" s="35"/>
      <c r="AJ10" s="35"/>
    </row>
    <row r="11" spans="1:36" ht="12.75">
      <c r="A11" s="1">
        <v>2</v>
      </c>
      <c r="B11" s="1" t="s">
        <v>9</v>
      </c>
      <c r="C11" s="3">
        <v>1</v>
      </c>
      <c r="D11" s="3">
        <v>20</v>
      </c>
      <c r="E11" s="3">
        <v>161</v>
      </c>
      <c r="F11" s="3">
        <v>21</v>
      </c>
      <c r="G11" s="3">
        <v>57</v>
      </c>
      <c r="H11" s="4" t="s">
        <v>111</v>
      </c>
      <c r="I11" s="7">
        <v>7.5649</v>
      </c>
      <c r="J11" s="7">
        <v>9.9742</v>
      </c>
      <c r="K11" s="7">
        <v>8.6835</v>
      </c>
      <c r="L11" s="3">
        <f t="shared" si="7"/>
        <v>53.571576806541295</v>
      </c>
      <c r="N11" s="3">
        <v>11.72</v>
      </c>
      <c r="O11" s="3">
        <f t="shared" si="0"/>
        <v>14.1293</v>
      </c>
      <c r="P11" s="21">
        <f t="shared" si="1"/>
        <v>10191.08280254777</v>
      </c>
      <c r="Q11" s="21">
        <f t="shared" si="1"/>
        <v>82038.21656050954</v>
      </c>
      <c r="R11" s="21">
        <f t="shared" si="1"/>
        <v>10700.636942675157</v>
      </c>
      <c r="S11" s="21">
        <f t="shared" si="1"/>
        <v>29044.585987261144</v>
      </c>
      <c r="T11" s="21">
        <f t="shared" si="2"/>
        <v>131974.5222929936</v>
      </c>
      <c r="U11" s="24">
        <f t="shared" si="3"/>
        <v>1.4154982907858138</v>
      </c>
      <c r="V11" s="24">
        <f t="shared" si="3"/>
        <v>11.394761240825801</v>
      </c>
      <c r="W11" s="24">
        <f t="shared" si="3"/>
        <v>1.4862732053251044</v>
      </c>
      <c r="X11" s="24">
        <f t="shared" si="3"/>
        <v>4.03417012873957</v>
      </c>
      <c r="Y11" s="24">
        <f t="shared" si="4"/>
        <v>18.33070286567629</v>
      </c>
      <c r="Z11" s="24">
        <f t="shared" si="5"/>
        <v>2.642256164864231</v>
      </c>
      <c r="AA11" s="24">
        <f t="shared" si="5"/>
        <v>21.270162127157057</v>
      </c>
      <c r="AB11" s="24">
        <f t="shared" si="5"/>
        <v>2.774368973107442</v>
      </c>
      <c r="AC11" s="24">
        <f t="shared" si="5"/>
        <v>7.5304300698630575</v>
      </c>
      <c r="AD11" s="24">
        <f t="shared" si="6"/>
        <v>34.21721733499179</v>
      </c>
      <c r="AE11" s="21">
        <f t="shared" si="8"/>
        <v>166114.64968152862</v>
      </c>
      <c r="AF11" s="34">
        <f t="shared" si="9"/>
        <v>34140.12738853509</v>
      </c>
      <c r="AG11" s="35">
        <f t="shared" si="10"/>
        <v>17.810770460679475</v>
      </c>
      <c r="AH11" s="35">
        <f t="shared" si="11"/>
        <v>0.5199324049967767</v>
      </c>
      <c r="AI11" s="35">
        <f t="shared" si="12"/>
        <v>39.81352954068579</v>
      </c>
      <c r="AJ11" s="35">
        <f t="shared" si="13"/>
        <v>5.596312205693994</v>
      </c>
    </row>
    <row r="12" spans="1:36" ht="12.75">
      <c r="A12" s="1">
        <v>2</v>
      </c>
      <c r="B12" s="1" t="s">
        <v>9</v>
      </c>
      <c r="C12" s="3">
        <v>2</v>
      </c>
      <c r="D12" s="3">
        <v>28</v>
      </c>
      <c r="E12" s="3">
        <f>257+8</f>
        <v>265</v>
      </c>
      <c r="F12" s="3">
        <v>67</v>
      </c>
      <c r="G12" s="3">
        <v>33</v>
      </c>
      <c r="H12" s="4" t="s">
        <v>128</v>
      </c>
      <c r="I12" s="7">
        <v>8.7204</v>
      </c>
      <c r="J12" s="7">
        <v>11.6392</v>
      </c>
      <c r="K12" s="7">
        <v>10.5278</v>
      </c>
      <c r="L12" s="3">
        <f t="shared" si="7"/>
        <v>38.0772920378238</v>
      </c>
      <c r="N12" s="3">
        <v>19.81</v>
      </c>
      <c r="O12" s="3">
        <f t="shared" si="0"/>
        <v>22.7288</v>
      </c>
      <c r="P12" s="21">
        <f t="shared" si="1"/>
        <v>14267.515923566876</v>
      </c>
      <c r="Q12" s="21">
        <f t="shared" si="1"/>
        <v>135031.84713375795</v>
      </c>
      <c r="R12" s="21">
        <f t="shared" si="1"/>
        <v>34140.127388535024</v>
      </c>
      <c r="S12" s="21">
        <f t="shared" si="1"/>
        <v>16815.286624203818</v>
      </c>
      <c r="T12" s="21">
        <f t="shared" si="2"/>
        <v>200254.77707006366</v>
      </c>
      <c r="U12" s="24">
        <f t="shared" si="3"/>
        <v>1.231917215163141</v>
      </c>
      <c r="V12" s="24">
        <f t="shared" si="3"/>
        <v>11.659216500651157</v>
      </c>
      <c r="W12" s="24">
        <f t="shared" si="3"/>
        <v>2.947801907711802</v>
      </c>
      <c r="X12" s="24">
        <f t="shared" si="3"/>
        <v>1.451902432156559</v>
      </c>
      <c r="Y12" s="24">
        <f t="shared" si="4"/>
        <v>17.29083805568266</v>
      </c>
      <c r="Z12" s="24">
        <f t="shared" si="5"/>
        <v>3.235306791090672</v>
      </c>
      <c r="AA12" s="24">
        <f t="shared" si="5"/>
        <v>30.619867844251</v>
      </c>
      <c r="AB12" s="24">
        <f t="shared" si="5"/>
        <v>7.741626964395537</v>
      </c>
      <c r="AC12" s="24">
        <f t="shared" si="5"/>
        <v>3.8130401466425776</v>
      </c>
      <c r="AD12" s="24">
        <f t="shared" si="6"/>
        <v>45.40984174637979</v>
      </c>
      <c r="AE12" s="21"/>
      <c r="AF12" s="34"/>
      <c r="AG12" s="35"/>
      <c r="AH12" s="35"/>
      <c r="AI12" s="35"/>
      <c r="AJ12" s="35"/>
    </row>
    <row r="13" spans="1:36" ht="12.75">
      <c r="A13" s="1">
        <v>2</v>
      </c>
      <c r="B13" s="1" t="s">
        <v>10</v>
      </c>
      <c r="C13" s="3">
        <v>1</v>
      </c>
      <c r="D13" s="3">
        <v>62</v>
      </c>
      <c r="E13" s="3">
        <v>208</v>
      </c>
      <c r="F13" s="3">
        <v>57</v>
      </c>
      <c r="G13" s="3">
        <v>66</v>
      </c>
      <c r="H13" s="4" t="s">
        <v>112</v>
      </c>
      <c r="I13" s="7">
        <v>8.5805</v>
      </c>
      <c r="J13" s="7">
        <v>10.6111</v>
      </c>
      <c r="K13" s="7">
        <v>9.2589</v>
      </c>
      <c r="L13" s="3">
        <f t="shared" si="7"/>
        <v>66.59115532354969</v>
      </c>
      <c r="N13" s="3">
        <v>8.46</v>
      </c>
      <c r="O13" s="3">
        <f t="shared" si="0"/>
        <v>10.4906</v>
      </c>
      <c r="P13" s="21">
        <f t="shared" si="1"/>
        <v>31592.356687898086</v>
      </c>
      <c r="Q13" s="21">
        <f t="shared" si="1"/>
        <v>105987.2611464968</v>
      </c>
      <c r="R13" s="21">
        <f t="shared" si="1"/>
        <v>29044.585987261144</v>
      </c>
      <c r="S13" s="21">
        <f t="shared" si="1"/>
        <v>33630.573248407636</v>
      </c>
      <c r="T13" s="21">
        <f t="shared" si="2"/>
        <v>200254.77707006366</v>
      </c>
      <c r="U13" s="24">
        <f t="shared" si="3"/>
        <v>5.910052809181552</v>
      </c>
      <c r="V13" s="24">
        <f t="shared" si="3"/>
        <v>19.827273940480048</v>
      </c>
      <c r="W13" s="24">
        <f t="shared" si="3"/>
        <v>5.433435647150782</v>
      </c>
      <c r="X13" s="24">
        <f t="shared" si="3"/>
        <v>6.291346538806169</v>
      </c>
      <c r="Y13" s="24">
        <f t="shared" si="4"/>
        <v>37.462108935618545</v>
      </c>
      <c r="Z13" s="24">
        <f t="shared" si="5"/>
        <v>8.875131810622735</v>
      </c>
      <c r="AA13" s="24">
        <f t="shared" si="5"/>
        <v>29.774635751766592</v>
      </c>
      <c r="AB13" s="24">
        <f t="shared" si="5"/>
        <v>8.159395374282191</v>
      </c>
      <c r="AC13" s="24">
        <f t="shared" si="5"/>
        <v>9.447720959695168</v>
      </c>
      <c r="AD13" s="24">
        <f t="shared" si="6"/>
        <v>56.25688389636669</v>
      </c>
      <c r="AE13" s="21">
        <f t="shared" si="8"/>
        <v>185732.4840764331</v>
      </c>
      <c r="AF13" s="34">
        <f t="shared" si="9"/>
        <v>14522.292993630665</v>
      </c>
      <c r="AG13" s="35">
        <f t="shared" si="10"/>
        <v>29.760393823512032</v>
      </c>
      <c r="AH13" s="35">
        <f t="shared" si="11"/>
        <v>7.701715112106509</v>
      </c>
      <c r="AI13" s="35">
        <f t="shared" si="12"/>
        <v>56.08130365762486</v>
      </c>
      <c r="AJ13" s="35">
        <f t="shared" si="13"/>
        <v>0.17558023874144552</v>
      </c>
    </row>
    <row r="14" spans="1:36" ht="12.75">
      <c r="A14" s="1">
        <v>2</v>
      </c>
      <c r="B14" s="1" t="s">
        <v>10</v>
      </c>
      <c r="C14" s="3">
        <v>2</v>
      </c>
      <c r="D14" s="3">
        <v>49</v>
      </c>
      <c r="E14" s="3">
        <v>170</v>
      </c>
      <c r="F14" s="3">
        <v>46</v>
      </c>
      <c r="G14" s="3">
        <v>71</v>
      </c>
      <c r="H14" s="4" t="s">
        <v>150</v>
      </c>
      <c r="I14" s="7">
        <v>9.0682</v>
      </c>
      <c r="J14" s="7">
        <v>11.6903</v>
      </c>
      <c r="K14" s="7">
        <v>10.6557</v>
      </c>
      <c r="L14" s="3">
        <f t="shared" si="7"/>
        <v>39.456923839670516</v>
      </c>
      <c r="N14" s="3">
        <v>12.61</v>
      </c>
      <c r="O14" s="3">
        <f t="shared" si="0"/>
        <v>15.2321</v>
      </c>
      <c r="P14" s="21">
        <f t="shared" si="1"/>
        <v>24968.152866242035</v>
      </c>
      <c r="Q14" s="21">
        <f t="shared" si="1"/>
        <v>86624.20382165603</v>
      </c>
      <c r="R14" s="21">
        <f t="shared" si="1"/>
        <v>23439.49044585987</v>
      </c>
      <c r="S14" s="21">
        <f t="shared" si="1"/>
        <v>36178.34394904458</v>
      </c>
      <c r="T14" s="21">
        <f t="shared" si="2"/>
        <v>171210.1910828025</v>
      </c>
      <c r="U14" s="24">
        <f t="shared" si="3"/>
        <v>3.216890645413305</v>
      </c>
      <c r="V14" s="24">
        <f t="shared" si="3"/>
        <v>11.16064101469922</v>
      </c>
      <c r="W14" s="24">
        <f t="shared" si="3"/>
        <v>3.0199381569186126</v>
      </c>
      <c r="X14" s="24">
        <f t="shared" si="3"/>
        <v>4.66120889437438</v>
      </c>
      <c r="Y14" s="24">
        <f t="shared" si="4"/>
        <v>22.058678711405516</v>
      </c>
      <c r="Z14" s="24">
        <f t="shared" si="5"/>
        <v>8.152917998587107</v>
      </c>
      <c r="AA14" s="24">
        <f t="shared" si="5"/>
        <v>28.285633872649147</v>
      </c>
      <c r="AB14" s="24">
        <f t="shared" si="5"/>
        <v>7.653759753775651</v>
      </c>
      <c r="AC14" s="24">
        <f t="shared" si="5"/>
        <v>11.813411793871113</v>
      </c>
      <c r="AD14" s="24">
        <f t="shared" si="6"/>
        <v>55.90572341888302</v>
      </c>
      <c r="AE14" s="21"/>
      <c r="AF14" s="34"/>
      <c r="AG14" s="35"/>
      <c r="AH14" s="35"/>
      <c r="AI14" s="35"/>
      <c r="AJ14" s="35"/>
    </row>
    <row r="15" spans="1:36" ht="12.75">
      <c r="A15" s="1">
        <v>2</v>
      </c>
      <c r="B15" s="1" t="s">
        <v>11</v>
      </c>
      <c r="C15" s="3">
        <v>1</v>
      </c>
      <c r="D15" s="3">
        <v>35</v>
      </c>
      <c r="E15" s="3">
        <f>127+4</f>
        <v>131</v>
      </c>
      <c r="F15" s="3">
        <v>33</v>
      </c>
      <c r="G15" s="3">
        <v>27</v>
      </c>
      <c r="H15" s="4" t="s">
        <v>113</v>
      </c>
      <c r="I15" s="7">
        <v>8.428</v>
      </c>
      <c r="J15" s="7">
        <v>11.7905</v>
      </c>
      <c r="K15" s="7">
        <v>10.6395</v>
      </c>
      <c r="L15" s="3">
        <f t="shared" si="7"/>
        <v>34.23048327137547</v>
      </c>
      <c r="N15" s="3">
        <v>11.8</v>
      </c>
      <c r="O15" s="3">
        <f t="shared" si="0"/>
        <v>15.1625</v>
      </c>
      <c r="P15" s="21">
        <f t="shared" si="1"/>
        <v>17834.394904458597</v>
      </c>
      <c r="Q15" s="21">
        <f t="shared" si="1"/>
        <v>66751.59235668789</v>
      </c>
      <c r="R15" s="21">
        <f t="shared" si="1"/>
        <v>16815.286624203818</v>
      </c>
      <c r="S15" s="21">
        <f t="shared" si="1"/>
        <v>13757.961783439488</v>
      </c>
      <c r="T15" s="21">
        <f t="shared" si="2"/>
        <v>115159.23566878978</v>
      </c>
      <c r="U15" s="24">
        <f t="shared" si="3"/>
        <v>2.3083264633140974</v>
      </c>
      <c r="V15" s="24">
        <f t="shared" si="3"/>
        <v>8.639736191261335</v>
      </c>
      <c r="W15" s="24">
        <f t="shared" si="3"/>
        <v>2.1764220939818633</v>
      </c>
      <c r="X15" s="24">
        <f t="shared" si="3"/>
        <v>1.7807089859851608</v>
      </c>
      <c r="Y15" s="24">
        <f t="shared" si="4"/>
        <v>14.905193734542456</v>
      </c>
      <c r="Z15" s="24">
        <f t="shared" si="5"/>
        <v>6.743481957335927</v>
      </c>
      <c r="AA15" s="24">
        <f t="shared" si="5"/>
        <v>25.239889611743042</v>
      </c>
      <c r="AB15" s="24">
        <f t="shared" si="5"/>
        <v>6.358140131202446</v>
      </c>
      <c r="AC15" s="24">
        <f t="shared" si="5"/>
        <v>5.202114652802001</v>
      </c>
      <c r="AD15" s="24">
        <f t="shared" si="6"/>
        <v>43.54362635308342</v>
      </c>
      <c r="AE15" s="21">
        <f t="shared" si="8"/>
        <v>131719.74522292992</v>
      </c>
      <c r="AF15" s="34">
        <f t="shared" si="9"/>
        <v>16560.509554140062</v>
      </c>
      <c r="AG15" s="35">
        <f t="shared" si="10"/>
        <v>21.648272796087962</v>
      </c>
      <c r="AH15" s="35">
        <f t="shared" si="11"/>
        <v>6.743079061545504</v>
      </c>
      <c r="AI15" s="35">
        <f t="shared" si="12"/>
        <v>41.460870470989974</v>
      </c>
      <c r="AJ15" s="35">
        <f t="shared" si="13"/>
        <v>2.082755882093486</v>
      </c>
    </row>
    <row r="16" spans="1:36" ht="12.75">
      <c r="A16" s="1">
        <v>2</v>
      </c>
      <c r="B16" s="1" t="s">
        <v>11</v>
      </c>
      <c r="C16" s="3">
        <v>2</v>
      </c>
      <c r="D16" s="3">
        <v>72</v>
      </c>
      <c r="E16" s="3">
        <f>170+6</f>
        <v>176</v>
      </c>
      <c r="F16" s="3">
        <v>15</v>
      </c>
      <c r="G16" s="3">
        <v>28</v>
      </c>
      <c r="H16" s="4" t="s">
        <v>151</v>
      </c>
      <c r="I16" s="7">
        <v>7.5993</v>
      </c>
      <c r="J16" s="7">
        <v>9.2989</v>
      </c>
      <c r="K16" s="7">
        <v>8.0735</v>
      </c>
      <c r="L16" s="3">
        <f t="shared" si="7"/>
        <v>72.09931748646746</v>
      </c>
      <c r="N16" s="3">
        <v>8.55</v>
      </c>
      <c r="O16" s="3">
        <f t="shared" si="0"/>
        <v>10.249600000000001</v>
      </c>
      <c r="P16" s="21">
        <f t="shared" si="1"/>
        <v>36687.89808917197</v>
      </c>
      <c r="Q16" s="21">
        <f t="shared" si="1"/>
        <v>89681.52866242037</v>
      </c>
      <c r="R16" s="21">
        <f t="shared" si="1"/>
        <v>7643.312101910827</v>
      </c>
      <c r="S16" s="21">
        <f t="shared" si="1"/>
        <v>14267.515923566876</v>
      </c>
      <c r="T16" s="21">
        <f t="shared" si="2"/>
        <v>148280.25477707005</v>
      </c>
      <c r="U16" s="24">
        <f t="shared" si="3"/>
        <v>7.024664377146425</v>
      </c>
      <c r="V16" s="24">
        <f t="shared" si="3"/>
        <v>17.171401810802372</v>
      </c>
      <c r="W16" s="24">
        <f t="shared" si="3"/>
        <v>1.4634717452388384</v>
      </c>
      <c r="X16" s="24">
        <f t="shared" si="3"/>
        <v>2.7318139244458317</v>
      </c>
      <c r="Y16" s="24">
        <f t="shared" si="4"/>
        <v>28.391351857633467</v>
      </c>
      <c r="Z16" s="24">
        <f t="shared" si="5"/>
        <v>9.743038661170274</v>
      </c>
      <c r="AA16" s="24">
        <f t="shared" si="5"/>
        <v>23.816316727305118</v>
      </c>
      <c r="AB16" s="24">
        <f t="shared" si="5"/>
        <v>2.029799721077141</v>
      </c>
      <c r="AC16" s="24">
        <f t="shared" si="5"/>
        <v>3.788959479343996</v>
      </c>
      <c r="AD16" s="24">
        <f t="shared" si="6"/>
        <v>39.37811458889653</v>
      </c>
      <c r="AE16" s="21"/>
      <c r="AF16" s="34"/>
      <c r="AG16" s="35"/>
      <c r="AH16" s="35"/>
      <c r="AI16" s="35"/>
      <c r="AJ16" s="35"/>
    </row>
    <row r="17" spans="1:36" ht="12.75">
      <c r="A17" s="1">
        <v>2</v>
      </c>
      <c r="B17" s="1" t="s">
        <v>12</v>
      </c>
      <c r="C17" s="3">
        <v>1</v>
      </c>
      <c r="D17" s="3">
        <v>103</v>
      </c>
      <c r="E17" s="3">
        <v>127</v>
      </c>
      <c r="F17" s="3">
        <v>17</v>
      </c>
      <c r="G17" s="3">
        <v>56</v>
      </c>
      <c r="H17" s="4" t="s">
        <v>114</v>
      </c>
      <c r="I17" s="7">
        <v>7.8186</v>
      </c>
      <c r="J17" s="7">
        <v>9.3793</v>
      </c>
      <c r="K17" s="7">
        <v>8.3636</v>
      </c>
      <c r="L17" s="3">
        <f t="shared" si="7"/>
        <v>65.07977189722563</v>
      </c>
      <c r="N17" s="3">
        <v>9.95</v>
      </c>
      <c r="O17" s="3">
        <f t="shared" si="0"/>
        <v>11.5107</v>
      </c>
      <c r="P17" s="21">
        <f t="shared" si="1"/>
        <v>52484.07643312101</v>
      </c>
      <c r="Q17" s="21">
        <f t="shared" si="1"/>
        <v>64713.375796178334</v>
      </c>
      <c r="R17" s="21">
        <f t="shared" si="1"/>
        <v>8662.420382165605</v>
      </c>
      <c r="S17" s="21">
        <f t="shared" si="1"/>
        <v>28535.031847133752</v>
      </c>
      <c r="T17" s="21">
        <f t="shared" si="2"/>
        <v>154394.9044585987</v>
      </c>
      <c r="U17" s="24">
        <f t="shared" si="3"/>
        <v>8.94819602630596</v>
      </c>
      <c r="V17" s="24">
        <f t="shared" si="3"/>
        <v>11.033212576124823</v>
      </c>
      <c r="W17" s="24">
        <f t="shared" si="3"/>
        <v>1.4768867227883622</v>
      </c>
      <c r="X17" s="24">
        <f t="shared" si="3"/>
        <v>4.865038616244017</v>
      </c>
      <c r="Y17" s="24">
        <f t="shared" si="4"/>
        <v>26.32333394146316</v>
      </c>
      <c r="Z17" s="24">
        <f t="shared" si="5"/>
        <v>13.749581114754067</v>
      </c>
      <c r="AA17" s="24">
        <f t="shared" si="5"/>
        <v>16.95336700557055</v>
      </c>
      <c r="AB17" s="24">
        <f t="shared" si="5"/>
        <v>2.269348339328341</v>
      </c>
      <c r="AC17" s="24">
        <f t="shared" si="5"/>
        <v>7.475500411905124</v>
      </c>
      <c r="AD17" s="24">
        <f t="shared" si="6"/>
        <v>40.447796871558076</v>
      </c>
      <c r="AE17" s="21">
        <f t="shared" si="8"/>
        <v>158216.5605095541</v>
      </c>
      <c r="AF17" s="34">
        <f t="shared" si="9"/>
        <v>3821.656050956102</v>
      </c>
      <c r="AG17" s="35">
        <f t="shared" si="10"/>
        <v>33.67065093760764</v>
      </c>
      <c r="AH17" s="35">
        <f t="shared" si="11"/>
        <v>7.347316996144474</v>
      </c>
      <c r="AI17" s="35">
        <f t="shared" si="12"/>
        <v>50.140315917580395</v>
      </c>
      <c r="AJ17" s="35">
        <f t="shared" si="13"/>
        <v>9.692519046022355</v>
      </c>
    </row>
    <row r="18" spans="1:36" ht="12.75">
      <c r="A18" s="1">
        <v>2</v>
      </c>
      <c r="B18" s="1" t="s">
        <v>12</v>
      </c>
      <c r="C18" s="3">
        <v>2</v>
      </c>
      <c r="D18" s="3">
        <v>76</v>
      </c>
      <c r="E18" s="3">
        <f>164+19</f>
        <v>183</v>
      </c>
      <c r="F18" s="3">
        <v>10</v>
      </c>
      <c r="G18" s="3">
        <v>49</v>
      </c>
      <c r="H18" s="4" t="s">
        <v>152</v>
      </c>
      <c r="I18" s="7">
        <v>7.8792</v>
      </c>
      <c r="J18" s="7">
        <v>9.2619</v>
      </c>
      <c r="K18" s="7">
        <v>8.314</v>
      </c>
      <c r="L18" s="3">
        <f t="shared" si="7"/>
        <v>68.55427786215377</v>
      </c>
      <c r="N18" s="3">
        <v>6.37</v>
      </c>
      <c r="O18" s="3">
        <f t="shared" si="0"/>
        <v>7.752700000000001</v>
      </c>
      <c r="P18" s="21">
        <f t="shared" si="1"/>
        <v>38726.11464968152</v>
      </c>
      <c r="Q18" s="21">
        <f t="shared" si="1"/>
        <v>93248.4076433121</v>
      </c>
      <c r="R18" s="21">
        <f t="shared" si="1"/>
        <v>5095.541401273885</v>
      </c>
      <c r="S18" s="21">
        <f t="shared" si="1"/>
        <v>24968.152866242035</v>
      </c>
      <c r="T18" s="21">
        <f t="shared" si="2"/>
        <v>162038.21656050955</v>
      </c>
      <c r="U18" s="24">
        <f t="shared" si="3"/>
        <v>9.803036361525661</v>
      </c>
      <c r="V18" s="24">
        <f t="shared" si="3"/>
        <v>23.604679659989422</v>
      </c>
      <c r="W18" s="24">
        <f t="shared" si="3"/>
        <v>1.2898732054639028</v>
      </c>
      <c r="X18" s="24">
        <f t="shared" si="3"/>
        <v>6.320378706773123</v>
      </c>
      <c r="Y18" s="24">
        <f t="shared" si="4"/>
        <v>41.01796793375212</v>
      </c>
      <c r="Z18" s="24">
        <f t="shared" si="5"/>
        <v>14.299671249162916</v>
      </c>
      <c r="AA18" s="24">
        <f t="shared" si="5"/>
        <v>34.43210313943176</v>
      </c>
      <c r="AB18" s="24">
        <f t="shared" si="5"/>
        <v>1.8815356906793312</v>
      </c>
      <c r="AC18" s="24">
        <f t="shared" si="5"/>
        <v>9.219524884328722</v>
      </c>
      <c r="AD18" s="24">
        <f t="shared" si="6"/>
        <v>59.83283496360272</v>
      </c>
      <c r="AE18" s="21"/>
      <c r="AF18" s="34"/>
      <c r="AG18" s="35"/>
      <c r="AH18" s="35"/>
      <c r="AI18" s="35"/>
      <c r="AJ18" s="35"/>
    </row>
    <row r="19" spans="1:36" ht="12.75">
      <c r="A19" s="1">
        <v>3</v>
      </c>
      <c r="B19" s="1" t="s">
        <v>9</v>
      </c>
      <c r="C19" s="3">
        <v>1</v>
      </c>
      <c r="D19" s="3">
        <v>77</v>
      </c>
      <c r="E19" s="3">
        <v>120</v>
      </c>
      <c r="F19" s="3">
        <v>36</v>
      </c>
      <c r="G19" s="3">
        <v>193</v>
      </c>
      <c r="H19" s="4" t="s">
        <v>67</v>
      </c>
      <c r="I19" s="7">
        <v>8.5712</v>
      </c>
      <c r="J19" s="7">
        <v>11.4259</v>
      </c>
      <c r="K19" s="7">
        <v>10.3591</v>
      </c>
      <c r="L19" s="3">
        <f t="shared" si="7"/>
        <v>37.36995130836866</v>
      </c>
      <c r="N19" s="3">
        <v>12.96</v>
      </c>
      <c r="O19" s="3">
        <f t="shared" si="0"/>
        <v>15.814700000000002</v>
      </c>
      <c r="P19" s="21">
        <f t="shared" si="1"/>
        <v>39235.668789808915</v>
      </c>
      <c r="Q19" s="21">
        <f t="shared" si="1"/>
        <v>61146.49681528661</v>
      </c>
      <c r="R19" s="21">
        <f t="shared" si="1"/>
        <v>18343.949044585985</v>
      </c>
      <c r="S19" s="21">
        <f t="shared" si="1"/>
        <v>98343.94904458597</v>
      </c>
      <c r="T19" s="21">
        <f t="shared" si="2"/>
        <v>217070.06369426748</v>
      </c>
      <c r="U19" s="24">
        <f t="shared" si="3"/>
        <v>4.86888780691382</v>
      </c>
      <c r="V19" s="24">
        <f t="shared" si="3"/>
        <v>7.587877101683875</v>
      </c>
      <c r="W19" s="24">
        <f t="shared" si="3"/>
        <v>2.2763631305051626</v>
      </c>
      <c r="X19" s="24">
        <f t="shared" si="3"/>
        <v>12.2038356718749</v>
      </c>
      <c r="Y19" s="24">
        <f t="shared" si="4"/>
        <v>26.936963710977757</v>
      </c>
      <c r="Z19" s="24">
        <f t="shared" si="5"/>
        <v>13.028884535430144</v>
      </c>
      <c r="AA19" s="24">
        <f t="shared" si="5"/>
        <v>20.304755120150876</v>
      </c>
      <c r="AB19" s="24">
        <f t="shared" si="5"/>
        <v>6.091426536045263</v>
      </c>
      <c r="AC19" s="24">
        <f t="shared" si="5"/>
        <v>32.656814484909326</v>
      </c>
      <c r="AD19" s="24">
        <f t="shared" si="6"/>
        <v>72.0818806765356</v>
      </c>
      <c r="AE19" s="21">
        <f t="shared" si="8"/>
        <v>188025.47770700633</v>
      </c>
      <c r="AF19" s="34">
        <f t="shared" si="9"/>
        <v>29044.585987261067</v>
      </c>
      <c r="AG19" s="35">
        <f t="shared" si="10"/>
        <v>33.63237814067875</v>
      </c>
      <c r="AH19" s="35">
        <f t="shared" si="11"/>
        <v>6.695414429700994</v>
      </c>
      <c r="AI19" s="35">
        <f t="shared" si="12"/>
        <v>68.11187540665927</v>
      </c>
      <c r="AJ19" s="35">
        <f t="shared" si="13"/>
        <v>3.970005269876526</v>
      </c>
    </row>
    <row r="20" spans="1:36" ht="12.75">
      <c r="A20" s="1">
        <v>3</v>
      </c>
      <c r="B20" s="1" t="s">
        <v>9</v>
      </c>
      <c r="C20" s="3">
        <v>2</v>
      </c>
      <c r="D20" s="3">
        <v>50</v>
      </c>
      <c r="E20" s="3">
        <f>168+12</f>
        <v>180</v>
      </c>
      <c r="F20" s="3">
        <v>26</v>
      </c>
      <c r="G20" s="3">
        <v>56</v>
      </c>
      <c r="H20" s="4" t="s">
        <v>153</v>
      </c>
      <c r="I20" s="7">
        <v>8.1749</v>
      </c>
      <c r="J20" s="7">
        <v>9.8715</v>
      </c>
      <c r="K20" s="7">
        <v>8.8048</v>
      </c>
      <c r="L20" s="3">
        <f t="shared" si="7"/>
        <v>62.87280443239414</v>
      </c>
      <c r="N20" s="3">
        <v>6.04</v>
      </c>
      <c r="O20" s="3">
        <f t="shared" si="0"/>
        <v>7.7366</v>
      </c>
      <c r="P20" s="21">
        <f t="shared" si="1"/>
        <v>25477.707006369423</v>
      </c>
      <c r="Q20" s="21">
        <f t="shared" si="1"/>
        <v>91719.74522292992</v>
      </c>
      <c r="R20" s="21">
        <f t="shared" si="1"/>
        <v>13248.4076433121</v>
      </c>
      <c r="S20" s="21">
        <f t="shared" si="1"/>
        <v>28535.031847133752</v>
      </c>
      <c r="T20" s="21">
        <f t="shared" si="2"/>
        <v>158980.89171974518</v>
      </c>
      <c r="U20" s="24">
        <f t="shared" si="3"/>
        <v>6.462787270894191</v>
      </c>
      <c r="V20" s="24">
        <f t="shared" si="3"/>
        <v>23.266034175219087</v>
      </c>
      <c r="W20" s="24">
        <f t="shared" si="3"/>
        <v>3.3606493808649796</v>
      </c>
      <c r="X20" s="24">
        <f t="shared" si="3"/>
        <v>7.238321743401494</v>
      </c>
      <c r="Y20" s="24">
        <f t="shared" si="4"/>
        <v>40.32779257037975</v>
      </c>
      <c r="Z20" s="24">
        <f t="shared" si="5"/>
        <v>10.279145855253676</v>
      </c>
      <c r="AA20" s="24">
        <f t="shared" si="5"/>
        <v>37.00492507891323</v>
      </c>
      <c r="AB20" s="24">
        <f t="shared" si="5"/>
        <v>5.345155844731911</v>
      </c>
      <c r="AC20" s="24">
        <f t="shared" si="5"/>
        <v>11.512643357884118</v>
      </c>
      <c r="AD20" s="24">
        <f t="shared" si="6"/>
        <v>64.14187013678294</v>
      </c>
      <c r="AE20" s="21"/>
      <c r="AF20" s="34"/>
      <c r="AG20" s="35"/>
      <c r="AH20" s="35"/>
      <c r="AI20" s="35"/>
      <c r="AJ20" s="35"/>
    </row>
    <row r="21" spans="1:36" ht="12.75">
      <c r="A21" s="1">
        <v>3</v>
      </c>
      <c r="B21" s="1" t="s">
        <v>10</v>
      </c>
      <c r="C21" s="3">
        <v>1</v>
      </c>
      <c r="D21" s="3">
        <v>88</v>
      </c>
      <c r="E21" s="3">
        <v>155</v>
      </c>
      <c r="F21" s="3">
        <v>49</v>
      </c>
      <c r="G21" s="3">
        <v>102</v>
      </c>
      <c r="H21" s="4" t="s">
        <v>68</v>
      </c>
      <c r="I21" s="7">
        <v>8.808</v>
      </c>
      <c r="J21" s="7">
        <v>11.6399</v>
      </c>
      <c r="K21" s="7">
        <v>10.5432</v>
      </c>
      <c r="L21" s="3">
        <f t="shared" si="7"/>
        <v>38.72664995232882</v>
      </c>
      <c r="N21" s="3">
        <v>14.75</v>
      </c>
      <c r="O21" s="3">
        <f t="shared" si="0"/>
        <v>17.5819</v>
      </c>
      <c r="P21" s="21">
        <f t="shared" si="1"/>
        <v>44840.764331210186</v>
      </c>
      <c r="Q21" s="21">
        <f t="shared" si="1"/>
        <v>78980.89171974521</v>
      </c>
      <c r="R21" s="21">
        <f t="shared" si="1"/>
        <v>24968.152866242035</v>
      </c>
      <c r="S21" s="21">
        <f t="shared" si="1"/>
        <v>51974.52229299362</v>
      </c>
      <c r="T21" s="21">
        <f t="shared" si="2"/>
        <v>200764.33121019104</v>
      </c>
      <c r="U21" s="24">
        <f t="shared" si="3"/>
        <v>5.005147339024792</v>
      </c>
      <c r="V21" s="24">
        <f t="shared" si="3"/>
        <v>8.815884517600486</v>
      </c>
      <c r="W21" s="24">
        <f t="shared" si="3"/>
        <v>2.786957041047896</v>
      </c>
      <c r="X21" s="24">
        <f t="shared" si="3"/>
        <v>5.801420779324191</v>
      </c>
      <c r="Y21" s="24">
        <f t="shared" si="4"/>
        <v>22.409409676997363</v>
      </c>
      <c r="Z21" s="24">
        <f t="shared" si="5"/>
        <v>12.92429720924985</v>
      </c>
      <c r="AA21" s="24">
        <f t="shared" si="5"/>
        <v>22.764387129928714</v>
      </c>
      <c r="AB21" s="24">
        <f t="shared" si="5"/>
        <v>7.196483673332303</v>
      </c>
      <c r="AC21" s="24">
        <f t="shared" si="5"/>
        <v>14.980435401630508</v>
      </c>
      <c r="AD21" s="24">
        <f t="shared" si="6"/>
        <v>57.865603414141376</v>
      </c>
      <c r="AE21" s="21">
        <f t="shared" si="8"/>
        <v>193375.79617834394</v>
      </c>
      <c r="AF21" s="34">
        <f t="shared" si="9"/>
        <v>7388.5350318465935</v>
      </c>
      <c r="AG21" s="35">
        <f t="shared" si="10"/>
        <v>20.857265543849635</v>
      </c>
      <c r="AH21" s="35">
        <f t="shared" si="11"/>
        <v>1.5521441331477448</v>
      </c>
      <c r="AI21" s="35">
        <f t="shared" si="12"/>
        <v>53.26476426688754</v>
      </c>
      <c r="AJ21" s="35">
        <f t="shared" si="13"/>
        <v>4.600839147253849</v>
      </c>
    </row>
    <row r="22" spans="1:36" ht="12.75">
      <c r="A22" s="1">
        <v>3</v>
      </c>
      <c r="B22" s="1" t="s">
        <v>10</v>
      </c>
      <c r="C22" s="3">
        <v>2</v>
      </c>
      <c r="D22" s="3">
        <v>95</v>
      </c>
      <c r="E22" s="3">
        <f>164+7</f>
        <v>171</v>
      </c>
      <c r="F22" s="3">
        <v>47</v>
      </c>
      <c r="G22" s="3">
        <v>52</v>
      </c>
      <c r="H22" s="4" t="s">
        <v>154</v>
      </c>
      <c r="I22" s="7">
        <v>7.6682</v>
      </c>
      <c r="J22" s="7">
        <v>10.3251</v>
      </c>
      <c r="K22" s="7">
        <v>9.2711</v>
      </c>
      <c r="L22" s="3">
        <f t="shared" si="7"/>
        <v>39.67029244608378</v>
      </c>
      <c r="N22" s="3">
        <v>16.25</v>
      </c>
      <c r="O22" s="3">
        <f t="shared" si="0"/>
        <v>18.9069</v>
      </c>
      <c r="P22" s="21">
        <f t="shared" si="1"/>
        <v>48407.64331210191</v>
      </c>
      <c r="Q22" s="21">
        <f t="shared" si="1"/>
        <v>87133.75796178343</v>
      </c>
      <c r="R22" s="21">
        <f t="shared" si="1"/>
        <v>23949.044585987256</v>
      </c>
      <c r="S22" s="21">
        <f t="shared" si="1"/>
        <v>26496.8152866242</v>
      </c>
      <c r="T22" s="21">
        <f t="shared" si="2"/>
        <v>185987.2611464968</v>
      </c>
      <c r="U22" s="24">
        <f t="shared" si="3"/>
        <v>5.024620641141594</v>
      </c>
      <c r="V22" s="24">
        <f t="shared" si="3"/>
        <v>9.044317154054868</v>
      </c>
      <c r="W22" s="24">
        <f t="shared" si="3"/>
        <v>2.4858649487753146</v>
      </c>
      <c r="X22" s="24">
        <f t="shared" si="3"/>
        <v>2.7503186667301356</v>
      </c>
      <c r="Y22" s="24">
        <f t="shared" si="4"/>
        <v>19.30512141070191</v>
      </c>
      <c r="Z22" s="24">
        <f t="shared" si="5"/>
        <v>12.66595311332932</v>
      </c>
      <c r="AA22" s="24">
        <f t="shared" si="5"/>
        <v>22.798715603992775</v>
      </c>
      <c r="AB22" s="24">
        <f t="shared" si="5"/>
        <v>6.2663136455418735</v>
      </c>
      <c r="AC22" s="24">
        <f t="shared" si="5"/>
        <v>6.932942756769733</v>
      </c>
      <c r="AD22" s="24">
        <f t="shared" si="6"/>
        <v>48.6639251196337</v>
      </c>
      <c r="AE22" s="21"/>
      <c r="AF22" s="34"/>
      <c r="AG22" s="35"/>
      <c r="AH22" s="35"/>
      <c r="AI22" s="35"/>
      <c r="AJ22" s="35"/>
    </row>
    <row r="23" spans="1:36" ht="12.75">
      <c r="A23" s="1">
        <v>3</v>
      </c>
      <c r="B23" s="1" t="s">
        <v>11</v>
      </c>
      <c r="C23" s="3">
        <v>1</v>
      </c>
      <c r="D23" s="3">
        <v>116</v>
      </c>
      <c r="E23" s="3">
        <v>107</v>
      </c>
      <c r="F23" s="3">
        <v>38</v>
      </c>
      <c r="G23" s="3">
        <v>152</v>
      </c>
      <c r="H23" s="4" t="s">
        <v>77</v>
      </c>
      <c r="I23" s="7">
        <v>8.0061</v>
      </c>
      <c r="J23" s="7">
        <v>9.9603</v>
      </c>
      <c r="K23" s="7">
        <v>8.6861</v>
      </c>
      <c r="L23" s="3">
        <f t="shared" si="7"/>
        <v>65.20315218503737</v>
      </c>
      <c r="N23" s="3">
        <v>6.5</v>
      </c>
      <c r="O23" s="3">
        <f t="shared" si="0"/>
        <v>8.4542</v>
      </c>
      <c r="P23" s="21">
        <f t="shared" si="1"/>
        <v>59108.28025477706</v>
      </c>
      <c r="Q23" s="21">
        <f t="shared" si="1"/>
        <v>54522.292993630566</v>
      </c>
      <c r="R23" s="21">
        <f t="shared" si="1"/>
        <v>19363.05732484076</v>
      </c>
      <c r="S23" s="21">
        <f t="shared" si="1"/>
        <v>77452.22929936304</v>
      </c>
      <c r="T23" s="21">
        <f t="shared" si="2"/>
        <v>210445.8598726114</v>
      </c>
      <c r="U23" s="24">
        <f t="shared" si="3"/>
        <v>13.720990750159684</v>
      </c>
      <c r="V23" s="24">
        <f t="shared" si="3"/>
        <v>12.656431122992123</v>
      </c>
      <c r="W23" s="24">
        <f t="shared" si="3"/>
        <v>4.494807314707483</v>
      </c>
      <c r="X23" s="24">
        <f t="shared" si="3"/>
        <v>17.979229258829932</v>
      </c>
      <c r="Y23" s="24">
        <f t="shared" si="4"/>
        <v>48.85145844668922</v>
      </c>
      <c r="Z23" s="24">
        <f t="shared" si="5"/>
        <v>21.043446965909627</v>
      </c>
      <c r="AA23" s="24">
        <f t="shared" si="5"/>
        <v>19.410765735795948</v>
      </c>
      <c r="AB23" s="24">
        <f t="shared" si="5"/>
        <v>6.893542971591085</v>
      </c>
      <c r="AC23" s="24">
        <f t="shared" si="5"/>
        <v>27.57417188636434</v>
      </c>
      <c r="AD23" s="24">
        <f t="shared" si="6"/>
        <v>74.921927559661</v>
      </c>
      <c r="AE23" s="21">
        <f t="shared" si="8"/>
        <v>146496.8152866242</v>
      </c>
      <c r="AF23" s="34">
        <f t="shared" si="9"/>
        <v>63949.04458598719</v>
      </c>
      <c r="AG23" s="35">
        <f t="shared" si="10"/>
        <v>30.165972581316108</v>
      </c>
      <c r="AH23" s="35">
        <f t="shared" si="11"/>
        <v>18.685485865373114</v>
      </c>
      <c r="AI23" s="35">
        <f t="shared" si="12"/>
        <v>57.1025741323008</v>
      </c>
      <c r="AJ23" s="35">
        <f t="shared" si="13"/>
        <v>17.819353427360195</v>
      </c>
    </row>
    <row r="24" spans="1:36" ht="12.75">
      <c r="A24" s="1">
        <v>3</v>
      </c>
      <c r="B24" s="1" t="s">
        <v>11</v>
      </c>
      <c r="C24" s="3">
        <v>2</v>
      </c>
      <c r="D24" s="3">
        <v>50</v>
      </c>
      <c r="E24" s="3">
        <v>83</v>
      </c>
      <c r="F24" s="3">
        <v>21</v>
      </c>
      <c r="G24" s="3">
        <v>8</v>
      </c>
      <c r="H24" s="4" t="s">
        <v>155</v>
      </c>
      <c r="I24" s="7">
        <v>7.3159</v>
      </c>
      <c r="J24" s="7">
        <v>10.7568</v>
      </c>
      <c r="K24" s="7">
        <v>9.7512</v>
      </c>
      <c r="L24" s="3">
        <f t="shared" si="7"/>
        <v>29.224912086953978</v>
      </c>
      <c r="N24" s="3">
        <v>10.67</v>
      </c>
      <c r="O24" s="3">
        <f t="shared" si="0"/>
        <v>14.1109</v>
      </c>
      <c r="P24" s="21">
        <f t="shared" si="1"/>
        <v>25477.707006369423</v>
      </c>
      <c r="Q24" s="21">
        <f t="shared" si="1"/>
        <v>42292.99363057324</v>
      </c>
      <c r="R24" s="21">
        <f t="shared" si="1"/>
        <v>10700.636942675157</v>
      </c>
      <c r="S24" s="21">
        <f t="shared" si="1"/>
        <v>4076.4331210191076</v>
      </c>
      <c r="T24" s="21">
        <f t="shared" si="2"/>
        <v>82547.77070063693</v>
      </c>
      <c r="U24" s="24">
        <f t="shared" si="3"/>
        <v>3.5433600975132697</v>
      </c>
      <c r="V24" s="24">
        <f t="shared" si="3"/>
        <v>5.881977761872028</v>
      </c>
      <c r="W24" s="24">
        <f t="shared" si="3"/>
        <v>1.4882112409555732</v>
      </c>
      <c r="X24" s="24">
        <f t="shared" si="3"/>
        <v>0.5669376156021232</v>
      </c>
      <c r="Y24" s="24">
        <f t="shared" si="4"/>
        <v>11.480486715942995</v>
      </c>
      <c r="Z24" s="24">
        <f t="shared" si="5"/>
        <v>12.124450834858209</v>
      </c>
      <c r="AA24" s="24">
        <f t="shared" si="5"/>
        <v>20.126588385864626</v>
      </c>
      <c r="AB24" s="24">
        <f t="shared" si="5"/>
        <v>5.092269350640447</v>
      </c>
      <c r="AC24" s="24">
        <f t="shared" si="5"/>
        <v>1.9399121335773133</v>
      </c>
      <c r="AD24" s="24">
        <f t="shared" si="6"/>
        <v>39.2832207049406</v>
      </c>
      <c r="AE24" s="21"/>
      <c r="AF24" s="34"/>
      <c r="AG24" s="35"/>
      <c r="AH24" s="35"/>
      <c r="AI24" s="35"/>
      <c r="AJ24" s="35"/>
    </row>
    <row r="25" spans="1:36" ht="12.75">
      <c r="A25" s="1">
        <v>3</v>
      </c>
      <c r="B25" s="1" t="s">
        <v>12</v>
      </c>
      <c r="C25" s="3">
        <v>1</v>
      </c>
      <c r="D25" s="3">
        <v>101</v>
      </c>
      <c r="E25" s="3">
        <v>100</v>
      </c>
      <c r="F25" s="3">
        <v>24</v>
      </c>
      <c r="G25" s="3">
        <v>108</v>
      </c>
      <c r="H25" s="4" t="s">
        <v>69</v>
      </c>
      <c r="I25" s="7">
        <v>8.6405</v>
      </c>
      <c r="J25" s="7">
        <v>10.4589</v>
      </c>
      <c r="K25" s="7">
        <v>9.3881</v>
      </c>
      <c r="L25" s="3">
        <f t="shared" si="7"/>
        <v>58.88693356797184</v>
      </c>
      <c r="N25" s="3">
        <v>11.97</v>
      </c>
      <c r="O25" s="3">
        <f t="shared" si="0"/>
        <v>13.788400000000001</v>
      </c>
      <c r="P25" s="21">
        <f t="shared" si="1"/>
        <v>51464.96815286623</v>
      </c>
      <c r="Q25" s="21">
        <f t="shared" si="1"/>
        <v>50955.414012738845</v>
      </c>
      <c r="R25" s="21">
        <f t="shared" si="1"/>
        <v>12229.299363057324</v>
      </c>
      <c r="S25" s="21">
        <f t="shared" si="1"/>
        <v>55031.847133757954</v>
      </c>
      <c r="T25" s="21">
        <f t="shared" si="2"/>
        <v>169681.52866242034</v>
      </c>
      <c r="U25" s="24">
        <f t="shared" si="3"/>
        <v>7.324997824258071</v>
      </c>
      <c r="V25" s="24">
        <f t="shared" si="3"/>
        <v>7.252473093324824</v>
      </c>
      <c r="W25" s="24">
        <f t="shared" si="3"/>
        <v>1.7405935423979575</v>
      </c>
      <c r="X25" s="24">
        <f t="shared" si="3"/>
        <v>7.832670940790809</v>
      </c>
      <c r="Y25" s="24">
        <f t="shared" si="4"/>
        <v>24.150735400771662</v>
      </c>
      <c r="Z25" s="24">
        <f t="shared" si="5"/>
        <v>12.439088572684796</v>
      </c>
      <c r="AA25" s="24">
        <f t="shared" si="5"/>
        <v>12.315929279885935</v>
      </c>
      <c r="AB25" s="24">
        <f t="shared" si="5"/>
        <v>2.9558230271726247</v>
      </c>
      <c r="AC25" s="24">
        <f t="shared" si="5"/>
        <v>13.30120362227681</v>
      </c>
      <c r="AD25" s="24">
        <f t="shared" si="6"/>
        <v>41.01204450202017</v>
      </c>
      <c r="AE25" s="21">
        <f t="shared" si="8"/>
        <v>160764.33121019107</v>
      </c>
      <c r="AF25" s="34">
        <f t="shared" si="9"/>
        <v>8917.197452228955</v>
      </c>
      <c r="AG25" s="35">
        <f t="shared" si="10"/>
        <v>24.437640367317996</v>
      </c>
      <c r="AH25" s="35">
        <f t="shared" si="11"/>
        <v>0.28690496654647774</v>
      </c>
      <c r="AI25" s="35">
        <f t="shared" si="12"/>
        <v>46.928771109862055</v>
      </c>
      <c r="AJ25" s="35">
        <f t="shared" si="13"/>
        <v>5.916726607841947</v>
      </c>
    </row>
    <row r="26" spans="1:36" ht="12.75">
      <c r="A26" s="1">
        <v>3</v>
      </c>
      <c r="B26" s="1" t="s">
        <v>12</v>
      </c>
      <c r="C26" s="3">
        <v>2</v>
      </c>
      <c r="D26" s="3">
        <v>95</v>
      </c>
      <c r="E26" s="3">
        <f>127+14</f>
        <v>141</v>
      </c>
      <c r="F26" s="3">
        <v>12</v>
      </c>
      <c r="G26" s="3">
        <v>50</v>
      </c>
      <c r="H26" s="4" t="s">
        <v>156</v>
      </c>
      <c r="I26" s="7">
        <v>8.9683</v>
      </c>
      <c r="J26" s="7">
        <v>11.4111</v>
      </c>
      <c r="K26" s="7">
        <v>10.2682</v>
      </c>
      <c r="L26" s="3">
        <f t="shared" si="7"/>
        <v>46.78647453741604</v>
      </c>
      <c r="N26" s="3">
        <v>9.61</v>
      </c>
      <c r="O26" s="3">
        <f t="shared" si="0"/>
        <v>12.0528</v>
      </c>
      <c r="P26" s="21">
        <f t="shared" si="1"/>
        <v>48407.64331210191</v>
      </c>
      <c r="Q26" s="21">
        <f t="shared" si="1"/>
        <v>71847.13375796177</v>
      </c>
      <c r="R26" s="21">
        <f t="shared" si="1"/>
        <v>6114.649681528662</v>
      </c>
      <c r="S26" s="21">
        <f t="shared" si="1"/>
        <v>25477.707006369423</v>
      </c>
      <c r="T26" s="21">
        <f t="shared" si="2"/>
        <v>151847.13375796177</v>
      </c>
      <c r="U26" s="24">
        <f t="shared" si="3"/>
        <v>7.881985928580911</v>
      </c>
      <c r="V26" s="24">
        <f t="shared" si="3"/>
        <v>11.69852648347272</v>
      </c>
      <c r="W26" s="24">
        <f t="shared" si="3"/>
        <v>0.9956192751891677</v>
      </c>
      <c r="X26" s="24">
        <f t="shared" si="3"/>
        <v>4.148413646621532</v>
      </c>
      <c r="Y26" s="24">
        <f t="shared" si="4"/>
        <v>24.72454533386433</v>
      </c>
      <c r="Z26" s="24">
        <f t="shared" si="5"/>
        <v>16.846719071080116</v>
      </c>
      <c r="AA26" s="24">
        <f t="shared" si="5"/>
        <v>25.004077779182065</v>
      </c>
      <c r="AB26" s="24">
        <f t="shared" si="5"/>
        <v>2.128006619504857</v>
      </c>
      <c r="AC26" s="24">
        <f t="shared" si="5"/>
        <v>8.866694247936904</v>
      </c>
      <c r="AD26" s="24">
        <f t="shared" si="6"/>
        <v>52.84549771770395</v>
      </c>
      <c r="AE26" s="21"/>
      <c r="AF26" s="34"/>
      <c r="AG26" s="35"/>
      <c r="AH26" s="35"/>
      <c r="AI26" s="35"/>
      <c r="AJ26" s="35"/>
    </row>
    <row r="27" spans="1:36" ht="12.75">
      <c r="A27" s="1">
        <v>4</v>
      </c>
      <c r="B27" s="1" t="s">
        <v>9</v>
      </c>
      <c r="C27" s="3">
        <v>1</v>
      </c>
      <c r="D27" s="3">
        <v>32</v>
      </c>
      <c r="E27" s="3">
        <v>89</v>
      </c>
      <c r="F27" s="3">
        <v>21</v>
      </c>
      <c r="G27" s="3">
        <v>65</v>
      </c>
      <c r="H27" s="4" t="s">
        <v>70</v>
      </c>
      <c r="I27" s="7">
        <v>9.0962</v>
      </c>
      <c r="J27" s="7">
        <v>10.9666</v>
      </c>
      <c r="K27" s="7">
        <v>9.8659</v>
      </c>
      <c r="L27" s="3">
        <f t="shared" si="7"/>
        <v>58.84837467921299</v>
      </c>
      <c r="N27" s="3">
        <v>6.48</v>
      </c>
      <c r="O27" s="3">
        <f t="shared" si="0"/>
        <v>8.3504</v>
      </c>
      <c r="P27" s="21">
        <f t="shared" si="1"/>
        <v>16305.73248407643</v>
      </c>
      <c r="Q27" s="21">
        <f t="shared" si="1"/>
        <v>45350.318471337574</v>
      </c>
      <c r="R27" s="21">
        <f t="shared" si="1"/>
        <v>10700.636942675157</v>
      </c>
      <c r="S27" s="21">
        <f t="shared" si="1"/>
        <v>33121.01910828025</v>
      </c>
      <c r="T27" s="21">
        <f t="shared" si="2"/>
        <v>105477.70700636941</v>
      </c>
      <c r="U27" s="24">
        <f t="shared" si="3"/>
        <v>3.832151753209427</v>
      </c>
      <c r="V27" s="24">
        <f t="shared" si="3"/>
        <v>10.65817206361372</v>
      </c>
      <c r="W27" s="24">
        <f t="shared" si="3"/>
        <v>2.5148495880436865</v>
      </c>
      <c r="X27" s="24">
        <f t="shared" si="3"/>
        <v>7.784058248706648</v>
      </c>
      <c r="Y27" s="24">
        <f t="shared" si="4"/>
        <v>24.78923165357348</v>
      </c>
      <c r="Z27" s="24">
        <f t="shared" si="5"/>
        <v>6.511907549016911</v>
      </c>
      <c r="AA27" s="24">
        <f t="shared" si="5"/>
        <v>18.111242870703283</v>
      </c>
      <c r="AB27" s="24">
        <f t="shared" si="5"/>
        <v>4.273439329042348</v>
      </c>
      <c r="AC27" s="24">
        <f t="shared" si="5"/>
        <v>13.2273122089406</v>
      </c>
      <c r="AD27" s="24">
        <f t="shared" si="6"/>
        <v>42.12390195770314</v>
      </c>
      <c r="AE27" s="21">
        <f t="shared" si="8"/>
        <v>128917.19745222927</v>
      </c>
      <c r="AF27" s="34">
        <f t="shared" si="9"/>
        <v>23439.49044585993</v>
      </c>
      <c r="AG27" s="35">
        <f t="shared" si="10"/>
        <v>27.357483893323966</v>
      </c>
      <c r="AH27" s="35">
        <f t="shared" si="11"/>
        <v>2.568252239750468</v>
      </c>
      <c r="AI27" s="35">
        <f t="shared" si="12"/>
        <v>47.63543675437289</v>
      </c>
      <c r="AJ27" s="35">
        <f t="shared" si="13"/>
        <v>5.511534796669783</v>
      </c>
    </row>
    <row r="28" spans="1:36" ht="12.75">
      <c r="A28" s="1">
        <v>4</v>
      </c>
      <c r="B28" s="1" t="s">
        <v>9</v>
      </c>
      <c r="C28" s="3">
        <v>2</v>
      </c>
      <c r="D28" s="3">
        <v>50</v>
      </c>
      <c r="E28" s="3">
        <f>169+3</f>
        <v>172</v>
      </c>
      <c r="F28" s="3">
        <v>15</v>
      </c>
      <c r="G28" s="3">
        <v>62</v>
      </c>
      <c r="H28" s="4" t="s">
        <v>157</v>
      </c>
      <c r="I28" s="7">
        <v>7.7783</v>
      </c>
      <c r="J28" s="7">
        <v>9.7997</v>
      </c>
      <c r="K28" s="7">
        <v>8.6615</v>
      </c>
      <c r="L28" s="3">
        <f t="shared" si="7"/>
        <v>56.30750964677943</v>
      </c>
      <c r="N28" s="3">
        <v>7.97</v>
      </c>
      <c r="O28" s="3">
        <f t="shared" si="0"/>
        <v>9.991399999999999</v>
      </c>
      <c r="P28" s="21">
        <f t="shared" si="1"/>
        <v>25477.707006369423</v>
      </c>
      <c r="Q28" s="21">
        <f t="shared" si="1"/>
        <v>87643.31210191082</v>
      </c>
      <c r="R28" s="21">
        <f t="shared" si="1"/>
        <v>7643.312101910827</v>
      </c>
      <c r="S28" s="21">
        <f t="shared" si="1"/>
        <v>31592.356687898086</v>
      </c>
      <c r="T28" s="21">
        <f t="shared" si="2"/>
        <v>152356.68789808915</v>
      </c>
      <c r="U28" s="24">
        <f t="shared" si="3"/>
        <v>5.004303701183018</v>
      </c>
      <c r="V28" s="24">
        <f t="shared" si="3"/>
        <v>17.21480473206958</v>
      </c>
      <c r="W28" s="24">
        <f t="shared" si="3"/>
        <v>1.5012911103549054</v>
      </c>
      <c r="X28" s="24">
        <f t="shared" si="3"/>
        <v>6.205336589466943</v>
      </c>
      <c r="Y28" s="24">
        <f t="shared" si="4"/>
        <v>29.925736133074448</v>
      </c>
      <c r="Z28" s="24">
        <f t="shared" si="5"/>
        <v>8.887453436629203</v>
      </c>
      <c r="AA28" s="24">
        <f t="shared" si="5"/>
        <v>30.572839822004457</v>
      </c>
      <c r="AB28" s="24">
        <f t="shared" si="5"/>
        <v>2.666236030988761</v>
      </c>
      <c r="AC28" s="24">
        <f t="shared" si="5"/>
        <v>11.02044226142021</v>
      </c>
      <c r="AD28" s="24">
        <f t="shared" si="6"/>
        <v>53.14697155104264</v>
      </c>
      <c r="AE28" s="21"/>
      <c r="AF28" s="34"/>
      <c r="AG28" s="35"/>
      <c r="AH28" s="35"/>
      <c r="AI28" s="35"/>
      <c r="AJ28" s="35"/>
    </row>
    <row r="29" spans="1:36" ht="12.75">
      <c r="A29" s="1">
        <v>4</v>
      </c>
      <c r="B29" s="1" t="s">
        <v>10</v>
      </c>
      <c r="C29" s="3">
        <v>1</v>
      </c>
      <c r="D29" s="3">
        <v>124</v>
      </c>
      <c r="E29" s="3">
        <v>250</v>
      </c>
      <c r="F29" s="3">
        <v>61</v>
      </c>
      <c r="G29" s="3">
        <v>280</v>
      </c>
      <c r="H29" s="4" t="s">
        <v>71</v>
      </c>
      <c r="I29" s="7">
        <v>8.0736</v>
      </c>
      <c r="J29" s="7">
        <v>10.8439</v>
      </c>
      <c r="K29" s="7">
        <v>9.9459</v>
      </c>
      <c r="L29" s="3">
        <f t="shared" si="7"/>
        <v>32.41526188499441</v>
      </c>
      <c r="N29" s="3">
        <v>15.34</v>
      </c>
      <c r="O29" s="3">
        <f t="shared" si="0"/>
        <v>18.1103</v>
      </c>
      <c r="P29" s="21">
        <f t="shared" si="1"/>
        <v>63184.71337579617</v>
      </c>
      <c r="Q29" s="21">
        <f t="shared" si="1"/>
        <v>127388.53503184712</v>
      </c>
      <c r="R29" s="21">
        <f t="shared" si="1"/>
        <v>31082.802547770698</v>
      </c>
      <c r="S29" s="21">
        <f t="shared" si="1"/>
        <v>142675.15923566878</v>
      </c>
      <c r="T29" s="21">
        <f t="shared" si="2"/>
        <v>364331.2101910828</v>
      </c>
      <c r="U29" s="24">
        <f t="shared" si="3"/>
        <v>6.846932408629344</v>
      </c>
      <c r="V29" s="24">
        <f t="shared" si="3"/>
        <v>13.804299210946258</v>
      </c>
      <c r="W29" s="24">
        <f t="shared" si="3"/>
        <v>3.368249007470887</v>
      </c>
      <c r="X29" s="24">
        <f t="shared" si="3"/>
        <v>15.460815116259809</v>
      </c>
      <c r="Y29" s="24">
        <f t="shared" si="4"/>
        <v>39.4802957433063</v>
      </c>
      <c r="Z29" s="24">
        <f t="shared" si="5"/>
        <v>21.122557741231482</v>
      </c>
      <c r="AA29" s="24">
        <f t="shared" si="5"/>
        <v>42.58580189764412</v>
      </c>
      <c r="AB29" s="24">
        <f t="shared" si="5"/>
        <v>10.390935663025166</v>
      </c>
      <c r="AC29" s="24">
        <f t="shared" si="5"/>
        <v>47.69609812536142</v>
      </c>
      <c r="AD29" s="24">
        <f t="shared" si="6"/>
        <v>121.79539342726218</v>
      </c>
      <c r="AE29" s="21">
        <f t="shared" si="8"/>
        <v>274649.6815286624</v>
      </c>
      <c r="AF29" s="34">
        <f t="shared" si="9"/>
        <v>89681.52866242047</v>
      </c>
      <c r="AG29" s="35">
        <f t="shared" si="10"/>
        <v>31.793941662123014</v>
      </c>
      <c r="AH29" s="35">
        <f t="shared" si="11"/>
        <v>7.686354081183293</v>
      </c>
      <c r="AI29" s="35">
        <f t="shared" si="12"/>
        <v>90.36054371584609</v>
      </c>
      <c r="AJ29" s="35">
        <f t="shared" si="13"/>
        <v>31.4348497114161</v>
      </c>
    </row>
    <row r="30" spans="1:36" ht="12.75">
      <c r="A30" s="1">
        <v>4</v>
      </c>
      <c r="B30" s="1" t="s">
        <v>10</v>
      </c>
      <c r="C30" s="3">
        <v>2</v>
      </c>
      <c r="D30" s="3">
        <v>113</v>
      </c>
      <c r="E30" s="3">
        <f>131+8</f>
        <v>139</v>
      </c>
      <c r="F30" s="3">
        <v>25</v>
      </c>
      <c r="G30" s="3">
        <v>86</v>
      </c>
      <c r="H30" s="4" t="s">
        <v>158</v>
      </c>
      <c r="I30" s="7">
        <v>8.2371</v>
      </c>
      <c r="J30" s="7">
        <v>11.0446</v>
      </c>
      <c r="K30" s="7">
        <v>9.896</v>
      </c>
      <c r="L30" s="3">
        <f t="shared" si="7"/>
        <v>40.911843276936764</v>
      </c>
      <c r="N30" s="3">
        <v>12.25</v>
      </c>
      <c r="O30" s="3">
        <f t="shared" si="0"/>
        <v>15.057500000000001</v>
      </c>
      <c r="P30" s="21">
        <f t="shared" si="1"/>
        <v>57579.6178343949</v>
      </c>
      <c r="Q30" s="21">
        <f t="shared" si="1"/>
        <v>70828.025477707</v>
      </c>
      <c r="R30" s="21">
        <f t="shared" si="1"/>
        <v>12738.853503184711</v>
      </c>
      <c r="S30" s="21">
        <f t="shared" si="1"/>
        <v>43821.65605095541</v>
      </c>
      <c r="T30" s="21">
        <f t="shared" si="2"/>
        <v>184968.15286624202</v>
      </c>
      <c r="U30" s="24">
        <f t="shared" si="3"/>
        <v>7.504565830981238</v>
      </c>
      <c r="V30" s="24">
        <f t="shared" si="3"/>
        <v>9.23128009297692</v>
      </c>
      <c r="W30" s="24">
        <f t="shared" si="3"/>
        <v>1.660302174995849</v>
      </c>
      <c r="X30" s="24">
        <f t="shared" si="3"/>
        <v>5.711439481985721</v>
      </c>
      <c r="Y30" s="24">
        <f t="shared" si="4"/>
        <v>24.10758758093973</v>
      </c>
      <c r="Z30" s="24">
        <f t="shared" si="5"/>
        <v>18.34326011708152</v>
      </c>
      <c r="AA30" s="24">
        <f t="shared" si="5"/>
        <v>22.563833241365764</v>
      </c>
      <c r="AB30" s="24">
        <f t="shared" si="5"/>
        <v>4.05824338873485</v>
      </c>
      <c r="AC30" s="24">
        <f t="shared" si="5"/>
        <v>13.960357257247882</v>
      </c>
      <c r="AD30" s="24">
        <f t="shared" si="6"/>
        <v>58.925694004430014</v>
      </c>
      <c r="AE30" s="21"/>
      <c r="AF30" s="34"/>
      <c r="AG30" s="35"/>
      <c r="AH30" s="35"/>
      <c r="AI30" s="35"/>
      <c r="AJ30" s="35"/>
    </row>
    <row r="31" spans="1:36" ht="12.75">
      <c r="A31" s="1">
        <v>4</v>
      </c>
      <c r="B31" s="1" t="s">
        <v>11</v>
      </c>
      <c r="C31" s="3">
        <v>1</v>
      </c>
      <c r="D31" s="3">
        <v>34</v>
      </c>
      <c r="E31" s="3">
        <v>150</v>
      </c>
      <c r="F31" s="3">
        <v>30</v>
      </c>
      <c r="G31" s="3">
        <v>146</v>
      </c>
      <c r="H31" s="4" t="s">
        <v>40</v>
      </c>
      <c r="I31" s="7">
        <v>7.361</v>
      </c>
      <c r="J31" s="7">
        <v>9.5318</v>
      </c>
      <c r="K31" s="7">
        <v>8.2729</v>
      </c>
      <c r="L31" s="3">
        <f t="shared" si="7"/>
        <v>57.99244518149992</v>
      </c>
      <c r="N31" s="3">
        <v>10.81</v>
      </c>
      <c r="O31" s="3">
        <f t="shared" si="0"/>
        <v>12.980800000000002</v>
      </c>
      <c r="P31" s="21">
        <f t="shared" si="1"/>
        <v>17324.84076433121</v>
      </c>
      <c r="Q31" s="21">
        <f t="shared" si="1"/>
        <v>76433.12101910826</v>
      </c>
      <c r="R31" s="21">
        <f t="shared" si="1"/>
        <v>15286.624203821653</v>
      </c>
      <c r="S31" s="21">
        <f t="shared" si="1"/>
        <v>74394.90445859871</v>
      </c>
      <c r="T31" s="21">
        <f t="shared" si="2"/>
        <v>183439.49044585985</v>
      </c>
      <c r="U31" s="24">
        <f t="shared" si="3"/>
        <v>2.619253050659435</v>
      </c>
      <c r="V31" s="24">
        <f t="shared" si="3"/>
        <v>11.555528164673978</v>
      </c>
      <c r="W31" s="24">
        <f t="shared" si="3"/>
        <v>2.3111056329347957</v>
      </c>
      <c r="X31" s="24">
        <f t="shared" si="3"/>
        <v>11.24738074694934</v>
      </c>
      <c r="Y31" s="24">
        <f t="shared" si="4"/>
        <v>27.733267595217548</v>
      </c>
      <c r="Z31" s="24">
        <f t="shared" si="5"/>
        <v>4.516541839996426</v>
      </c>
      <c r="AA31" s="24">
        <f t="shared" si="5"/>
        <v>19.925919882337173</v>
      </c>
      <c r="AB31" s="24">
        <f t="shared" si="5"/>
        <v>3.9851839764674346</v>
      </c>
      <c r="AC31" s="24">
        <f t="shared" si="5"/>
        <v>19.394562018808184</v>
      </c>
      <c r="AD31" s="24">
        <f t="shared" si="6"/>
        <v>47.82220771760922</v>
      </c>
      <c r="AE31" s="21">
        <f t="shared" si="8"/>
        <v>186496.8152866242</v>
      </c>
      <c r="AF31" s="34">
        <f t="shared" si="9"/>
        <v>3057.324840764132</v>
      </c>
      <c r="AG31" s="35">
        <f t="shared" si="10"/>
        <v>24.489620570276855</v>
      </c>
      <c r="AH31" s="35">
        <f t="shared" si="11"/>
        <v>3.2436470249407026</v>
      </c>
      <c r="AI31" s="35">
        <f t="shared" si="12"/>
        <v>57.58202477637294</v>
      </c>
      <c r="AJ31" s="35">
        <f t="shared" si="13"/>
        <v>9.759817058763714</v>
      </c>
    </row>
    <row r="32" spans="1:36" ht="12.75">
      <c r="A32" s="1">
        <v>4</v>
      </c>
      <c r="B32" s="1" t="s">
        <v>11</v>
      </c>
      <c r="C32" s="3">
        <v>2</v>
      </c>
      <c r="D32" s="3">
        <v>50</v>
      </c>
      <c r="E32" s="3">
        <f>192+16</f>
        <v>208</v>
      </c>
      <c r="F32" s="3">
        <v>33</v>
      </c>
      <c r="G32" s="3">
        <v>81</v>
      </c>
      <c r="H32" s="4" t="s">
        <v>161</v>
      </c>
      <c r="I32" s="7">
        <v>7.6658</v>
      </c>
      <c r="J32" s="7">
        <v>10.805</v>
      </c>
      <c r="K32" s="7">
        <v>9.8146</v>
      </c>
      <c r="L32" s="3">
        <f t="shared" si="7"/>
        <v>31.549439347604466</v>
      </c>
      <c r="N32" s="3">
        <v>14.37</v>
      </c>
      <c r="O32" s="3">
        <f t="shared" si="0"/>
        <v>17.5092</v>
      </c>
      <c r="P32" s="21">
        <f t="shared" si="1"/>
        <v>25477.707006369423</v>
      </c>
      <c r="Q32" s="21">
        <f t="shared" si="1"/>
        <v>105987.2611464968</v>
      </c>
      <c r="R32" s="21">
        <f t="shared" si="1"/>
        <v>16815.286624203818</v>
      </c>
      <c r="S32" s="21">
        <f t="shared" si="1"/>
        <v>41273.885350318465</v>
      </c>
      <c r="T32" s="21">
        <f t="shared" si="2"/>
        <v>189554.14012738853</v>
      </c>
      <c r="U32" s="24">
        <f t="shared" si="3"/>
        <v>2.8556416055559364</v>
      </c>
      <c r="V32" s="24">
        <f t="shared" si="3"/>
        <v>11.879469079112695</v>
      </c>
      <c r="W32" s="24">
        <f t="shared" si="3"/>
        <v>1.884723459666918</v>
      </c>
      <c r="X32" s="24">
        <f t="shared" si="3"/>
        <v>4.626139401000617</v>
      </c>
      <c r="Y32" s="24">
        <f t="shared" si="4"/>
        <v>21.245973545336167</v>
      </c>
      <c r="Z32" s="24">
        <f t="shared" si="5"/>
        <v>9.051322827303315</v>
      </c>
      <c r="AA32" s="24">
        <f t="shared" si="5"/>
        <v>37.653502961581786</v>
      </c>
      <c r="AB32" s="24">
        <f t="shared" si="5"/>
        <v>5.973873066020187</v>
      </c>
      <c r="AC32" s="24">
        <f t="shared" si="5"/>
        <v>14.663142980231369</v>
      </c>
      <c r="AD32" s="24">
        <f t="shared" si="6"/>
        <v>67.34184183513666</v>
      </c>
      <c r="AE32" s="21"/>
      <c r="AF32" s="34"/>
      <c r="AG32" s="35"/>
      <c r="AH32" s="35"/>
      <c r="AI32" s="35"/>
      <c r="AJ32" s="35"/>
    </row>
    <row r="33" spans="1:36" ht="12.75">
      <c r="A33" s="1">
        <v>4</v>
      </c>
      <c r="B33" s="1" t="s">
        <v>12</v>
      </c>
      <c r="C33" s="3">
        <v>1</v>
      </c>
      <c r="D33" s="3">
        <v>45</v>
      </c>
      <c r="E33" s="3">
        <v>119</v>
      </c>
      <c r="F33" s="3">
        <v>33</v>
      </c>
      <c r="G33" s="3">
        <v>57</v>
      </c>
      <c r="H33" s="4" t="s">
        <v>72</v>
      </c>
      <c r="I33" s="7">
        <v>7.9848</v>
      </c>
      <c r="J33" s="7">
        <v>9.7751</v>
      </c>
      <c r="K33" s="7">
        <v>8.5594</v>
      </c>
      <c r="L33" s="3">
        <f t="shared" si="7"/>
        <v>67.90482042115845</v>
      </c>
      <c r="N33" s="3">
        <v>8.11</v>
      </c>
      <c r="O33" s="3">
        <f t="shared" si="0"/>
        <v>9.9003</v>
      </c>
      <c r="P33" s="21">
        <f t="shared" si="1"/>
        <v>22929.93630573248</v>
      </c>
      <c r="Q33" s="21">
        <f t="shared" si="1"/>
        <v>60636.942675159225</v>
      </c>
      <c r="R33" s="21">
        <f t="shared" si="1"/>
        <v>16815.286624203818</v>
      </c>
      <c r="S33" s="21">
        <f t="shared" si="1"/>
        <v>29044.585987261144</v>
      </c>
      <c r="T33" s="21">
        <f t="shared" si="2"/>
        <v>129426.75159235667</v>
      </c>
      <c r="U33" s="24">
        <f t="shared" si="3"/>
        <v>4.545316808581559</v>
      </c>
      <c r="V33" s="24">
        <f t="shared" si="3"/>
        <v>12.019837782693454</v>
      </c>
      <c r="W33" s="24">
        <f t="shared" si="3"/>
        <v>3.333232326293143</v>
      </c>
      <c r="X33" s="24">
        <f t="shared" si="3"/>
        <v>5.757401290869974</v>
      </c>
      <c r="Y33" s="24">
        <f t="shared" si="4"/>
        <v>25.65578820843813</v>
      </c>
      <c r="Z33" s="24">
        <f t="shared" si="5"/>
        <v>6.693658536154944</v>
      </c>
      <c r="AA33" s="24">
        <f t="shared" si="5"/>
        <v>17.701008128943073</v>
      </c>
      <c r="AB33" s="24">
        <f t="shared" si="5"/>
        <v>4.908682926513626</v>
      </c>
      <c r="AC33" s="24">
        <f t="shared" si="5"/>
        <v>8.478634145796262</v>
      </c>
      <c r="AD33" s="24">
        <f t="shared" si="6"/>
        <v>37.781983737407906</v>
      </c>
      <c r="AE33" s="21">
        <f t="shared" si="8"/>
        <v>142675.15923566878</v>
      </c>
      <c r="AF33" s="34">
        <f t="shared" si="9"/>
        <v>13248.407643311944</v>
      </c>
      <c r="AG33" s="35">
        <f t="shared" si="10"/>
        <v>22.561028109753593</v>
      </c>
      <c r="AH33" s="35">
        <f t="shared" si="11"/>
        <v>3.0947600986845263</v>
      </c>
      <c r="AI33" s="35">
        <f t="shared" si="12"/>
        <v>35.28172564014079</v>
      </c>
      <c r="AJ33" s="35">
        <f t="shared" si="13"/>
        <v>2.5002580972671535</v>
      </c>
    </row>
    <row r="34" spans="1:36" ht="12.75">
      <c r="A34" s="1">
        <v>4</v>
      </c>
      <c r="B34" s="1" t="s">
        <v>12</v>
      </c>
      <c r="C34" s="3">
        <v>2</v>
      </c>
      <c r="D34" s="3">
        <v>55</v>
      </c>
      <c r="E34" s="3">
        <f>145+13</f>
        <v>158</v>
      </c>
      <c r="F34" s="3">
        <v>23</v>
      </c>
      <c r="G34" s="3">
        <v>70</v>
      </c>
      <c r="H34" s="4" t="s">
        <v>159</v>
      </c>
      <c r="I34" s="7">
        <v>9.2818</v>
      </c>
      <c r="J34" s="7">
        <v>11.4013</v>
      </c>
      <c r="K34" s="7">
        <v>10.1427</v>
      </c>
      <c r="L34" s="3">
        <f t="shared" si="7"/>
        <v>59.38192970040109</v>
      </c>
      <c r="N34" s="3">
        <v>13.6</v>
      </c>
      <c r="O34" s="3">
        <f t="shared" si="0"/>
        <v>15.7195</v>
      </c>
      <c r="P34" s="21">
        <f t="shared" si="1"/>
        <v>28025.477707006365</v>
      </c>
      <c r="Q34" s="21">
        <f t="shared" si="1"/>
        <v>80509.55414012738</v>
      </c>
      <c r="R34" s="21">
        <f t="shared" si="1"/>
        <v>11719.745222929934</v>
      </c>
      <c r="S34" s="21">
        <f t="shared" si="1"/>
        <v>35668.789808917194</v>
      </c>
      <c r="T34" s="21">
        <f t="shared" si="2"/>
        <v>155923.56687898087</v>
      </c>
      <c r="U34" s="24">
        <f t="shared" si="3"/>
        <v>3.4988390215973793</v>
      </c>
      <c r="V34" s="24">
        <f t="shared" si="3"/>
        <v>10.051210280225199</v>
      </c>
      <c r="W34" s="24">
        <f t="shared" si="3"/>
        <v>1.4631508635770858</v>
      </c>
      <c r="X34" s="24">
        <f t="shared" si="3"/>
        <v>4.453067845669391</v>
      </c>
      <c r="Y34" s="24">
        <f t="shared" si="4"/>
        <v>19.466268011069054</v>
      </c>
      <c r="Z34" s="24">
        <f t="shared" si="5"/>
        <v>5.892093839405401</v>
      </c>
      <c r="AA34" s="24">
        <f t="shared" si="5"/>
        <v>16.926378665928244</v>
      </c>
      <c r="AB34" s="24">
        <f t="shared" si="5"/>
        <v>2.4639665146604406</v>
      </c>
      <c r="AC34" s="24">
        <f t="shared" si="5"/>
        <v>7.499028522879602</v>
      </c>
      <c r="AD34" s="24">
        <f t="shared" si="6"/>
        <v>32.781467542873685</v>
      </c>
      <c r="AE34" s="21"/>
      <c r="AF34" s="34"/>
      <c r="AG34" s="35"/>
      <c r="AH34" s="35"/>
      <c r="AI34" s="35"/>
      <c r="AJ34" s="35"/>
    </row>
    <row r="35" spans="1:36" ht="12.75">
      <c r="A35" s="1">
        <v>5</v>
      </c>
      <c r="B35" s="1" t="s">
        <v>9</v>
      </c>
      <c r="C35" s="3">
        <v>1</v>
      </c>
      <c r="D35" s="3">
        <v>136</v>
      </c>
      <c r="E35" s="3">
        <v>195</v>
      </c>
      <c r="F35" s="3">
        <v>44</v>
      </c>
      <c r="G35" s="3">
        <v>111</v>
      </c>
      <c r="H35" s="4" t="s">
        <v>73</v>
      </c>
      <c r="I35" s="7">
        <v>9.1601</v>
      </c>
      <c r="J35" s="7">
        <v>12.5175</v>
      </c>
      <c r="K35" s="7">
        <v>11.3098</v>
      </c>
      <c r="L35" s="3">
        <f t="shared" si="7"/>
        <v>35.97128730565321</v>
      </c>
      <c r="N35" s="3">
        <v>20.45</v>
      </c>
      <c r="O35" s="3">
        <f t="shared" si="0"/>
        <v>23.8074</v>
      </c>
      <c r="P35" s="21">
        <f t="shared" si="1"/>
        <v>69299.36305732484</v>
      </c>
      <c r="Q35" s="21">
        <f t="shared" si="1"/>
        <v>99363.05732484075</v>
      </c>
      <c r="R35" s="21">
        <f t="shared" si="1"/>
        <v>22420.382165605093</v>
      </c>
      <c r="S35" s="21">
        <f t="shared" si="1"/>
        <v>56560.50955414012</v>
      </c>
      <c r="T35" s="21">
        <f t="shared" si="2"/>
        <v>247643.3121019108</v>
      </c>
      <c r="U35" s="24">
        <f t="shared" si="3"/>
        <v>5.712509555852382</v>
      </c>
      <c r="V35" s="24">
        <f t="shared" si="3"/>
        <v>8.190730613170695</v>
      </c>
      <c r="W35" s="24">
        <f t="shared" si="3"/>
        <v>1.8481648563051822</v>
      </c>
      <c r="X35" s="24">
        <f t="shared" si="3"/>
        <v>4.662415887497165</v>
      </c>
      <c r="Y35" s="24">
        <f t="shared" si="4"/>
        <v>20.41382091282542</v>
      </c>
      <c r="Z35" s="24">
        <f t="shared" si="5"/>
        <v>15.88074818482965</v>
      </c>
      <c r="AA35" s="24">
        <f t="shared" si="5"/>
        <v>22.770190412071926</v>
      </c>
      <c r="AB35" s="24">
        <f t="shared" si="5"/>
        <v>5.1378891186213576</v>
      </c>
      <c r="AC35" s="24">
        <f t="shared" si="5"/>
        <v>12.961493003794788</v>
      </c>
      <c r="AD35" s="24">
        <f t="shared" si="6"/>
        <v>56.75032071931772</v>
      </c>
      <c r="AE35" s="21">
        <f t="shared" si="8"/>
        <v>197452.22929936304</v>
      </c>
      <c r="AF35" s="34">
        <f t="shared" si="9"/>
        <v>50191.08280254774</v>
      </c>
      <c r="AG35" s="35">
        <f t="shared" si="10"/>
        <v>20.840824178208923</v>
      </c>
      <c r="AH35" s="35">
        <f t="shared" si="11"/>
        <v>0.4270032653834484</v>
      </c>
      <c r="AI35" s="35">
        <f t="shared" si="12"/>
        <v>40.89263190186281</v>
      </c>
      <c r="AJ35" s="35">
        <f t="shared" si="13"/>
        <v>15.857688817454898</v>
      </c>
    </row>
    <row r="36" spans="1:36" ht="12.75">
      <c r="A36" s="1">
        <v>5</v>
      </c>
      <c r="B36" s="1" t="s">
        <v>9</v>
      </c>
      <c r="C36" s="3">
        <v>2</v>
      </c>
      <c r="D36" s="3">
        <v>32</v>
      </c>
      <c r="E36" s="3">
        <f>183+8</f>
        <v>191</v>
      </c>
      <c r="F36" s="3">
        <v>23</v>
      </c>
      <c r="G36" s="3">
        <v>43</v>
      </c>
      <c r="H36" s="4" t="s">
        <v>160</v>
      </c>
      <c r="I36" s="7">
        <v>8.1549</v>
      </c>
      <c r="J36" s="7">
        <v>10.0735</v>
      </c>
      <c r="K36" s="7">
        <v>8.4436</v>
      </c>
      <c r="L36" s="3">
        <f t="shared" si="7"/>
        <v>84.95256958198684</v>
      </c>
      <c r="N36" s="3">
        <v>11.67</v>
      </c>
      <c r="O36" s="3">
        <f t="shared" si="0"/>
        <v>13.5886</v>
      </c>
      <c r="P36" s="21">
        <f t="shared" si="1"/>
        <v>16305.73248407643</v>
      </c>
      <c r="Q36" s="21">
        <f t="shared" si="1"/>
        <v>97324.8407643312</v>
      </c>
      <c r="R36" s="21">
        <f t="shared" si="1"/>
        <v>11719.745222929934</v>
      </c>
      <c r="S36" s="21">
        <f t="shared" si="1"/>
        <v>21910.828025477706</v>
      </c>
      <c r="T36" s="21">
        <f t="shared" si="2"/>
        <v>147261.14649681526</v>
      </c>
      <c r="U36" s="24">
        <f t="shared" si="3"/>
        <v>2.3549151494635208</v>
      </c>
      <c r="V36" s="24">
        <f t="shared" si="3"/>
        <v>14.055899798360391</v>
      </c>
      <c r="W36" s="24">
        <f t="shared" si="3"/>
        <v>1.6925952636769057</v>
      </c>
      <c r="X36" s="24">
        <f t="shared" si="3"/>
        <v>3.164417232091606</v>
      </c>
      <c r="Y36" s="24">
        <f t="shared" si="4"/>
        <v>21.267827443592424</v>
      </c>
      <c r="Z36" s="24">
        <f t="shared" si="5"/>
        <v>2.772035220418868</v>
      </c>
      <c r="AA36" s="24">
        <f t="shared" si="5"/>
        <v>16.54558522187512</v>
      </c>
      <c r="AB36" s="24">
        <f t="shared" si="5"/>
        <v>1.9924003146760614</v>
      </c>
      <c r="AC36" s="24">
        <f t="shared" si="5"/>
        <v>3.7249223274378536</v>
      </c>
      <c r="AD36" s="24">
        <f t="shared" si="6"/>
        <v>25.0349430844079</v>
      </c>
      <c r="AE36" s="21"/>
      <c r="AF36" s="34"/>
      <c r="AG36" s="35"/>
      <c r="AH36" s="35"/>
      <c r="AI36" s="35"/>
      <c r="AJ36" s="35"/>
    </row>
    <row r="37" spans="1:36" ht="12.75">
      <c r="A37" s="1">
        <v>5</v>
      </c>
      <c r="B37" s="1" t="s">
        <v>10</v>
      </c>
      <c r="C37" s="3">
        <v>1</v>
      </c>
      <c r="D37" s="3">
        <v>119</v>
      </c>
      <c r="E37" s="3">
        <v>166</v>
      </c>
      <c r="F37" s="3">
        <v>15</v>
      </c>
      <c r="G37" s="3">
        <v>149</v>
      </c>
      <c r="H37" s="4" t="s">
        <v>74</v>
      </c>
      <c r="I37" s="7">
        <v>8.2324</v>
      </c>
      <c r="J37" s="7">
        <v>10.6114</v>
      </c>
      <c r="K37" s="7">
        <v>9.5535</v>
      </c>
      <c r="L37" s="3">
        <f t="shared" si="7"/>
        <v>44.46826397646071</v>
      </c>
      <c r="N37" s="3">
        <v>9.03</v>
      </c>
      <c r="O37" s="3">
        <f t="shared" si="0"/>
        <v>11.408999999999999</v>
      </c>
      <c r="P37" s="21">
        <f t="shared" si="1"/>
        <v>60636.942675159225</v>
      </c>
      <c r="Q37" s="21">
        <f t="shared" si="1"/>
        <v>84585.98726114648</v>
      </c>
      <c r="R37" s="21">
        <f t="shared" si="1"/>
        <v>7643.312101910827</v>
      </c>
      <c r="S37" s="21">
        <f t="shared" si="1"/>
        <v>75923.56687898088</v>
      </c>
      <c r="T37" s="21">
        <f t="shared" si="2"/>
        <v>228789.8089171974</v>
      </c>
      <c r="U37" s="24">
        <f t="shared" si="3"/>
        <v>10.430361994916295</v>
      </c>
      <c r="V37" s="24">
        <f t="shared" si="3"/>
        <v>14.549916732404244</v>
      </c>
      <c r="W37" s="24">
        <f t="shared" si="3"/>
        <v>1.3147515119642388</v>
      </c>
      <c r="X37" s="24">
        <f t="shared" si="3"/>
        <v>13.059865018844773</v>
      </c>
      <c r="Y37" s="24">
        <f t="shared" si="4"/>
        <v>39.35489525812955</v>
      </c>
      <c r="Z37" s="24">
        <f t="shared" si="5"/>
        <v>23.4557436297437</v>
      </c>
      <c r="AA37" s="24">
        <f t="shared" si="5"/>
        <v>32.71977682804583</v>
      </c>
      <c r="AB37" s="24">
        <f t="shared" si="5"/>
        <v>2.9566063398836597</v>
      </c>
      <c r="AC37" s="24">
        <f t="shared" si="5"/>
        <v>29.36895630951102</v>
      </c>
      <c r="AD37" s="24">
        <f t="shared" si="6"/>
        <v>88.50108310718421</v>
      </c>
      <c r="AE37" s="21">
        <f t="shared" si="8"/>
        <v>214522.29299363052</v>
      </c>
      <c r="AF37" s="34">
        <f t="shared" si="9"/>
        <v>14267.51592356714</v>
      </c>
      <c r="AG37" s="35">
        <f t="shared" si="10"/>
        <v>37.10801365675853</v>
      </c>
      <c r="AH37" s="35">
        <f t="shared" si="11"/>
        <v>2.246881601371038</v>
      </c>
      <c r="AI37" s="35">
        <f t="shared" si="12"/>
        <v>79.32415856640714</v>
      </c>
      <c r="AJ37" s="35">
        <f t="shared" si="13"/>
        <v>9.176924540777154</v>
      </c>
    </row>
    <row r="38" spans="1:36" ht="12.75">
      <c r="A38" s="1">
        <v>5</v>
      </c>
      <c r="B38" s="1" t="s">
        <v>10</v>
      </c>
      <c r="C38" s="3">
        <v>2</v>
      </c>
      <c r="D38" s="3">
        <v>43</v>
      </c>
      <c r="E38" s="3">
        <v>239</v>
      </c>
      <c r="F38" s="3">
        <v>33</v>
      </c>
      <c r="G38" s="3">
        <v>78</v>
      </c>
      <c r="H38" s="4" t="s">
        <v>162</v>
      </c>
      <c r="I38" s="7">
        <v>7.8669</v>
      </c>
      <c r="J38" s="7">
        <v>9.9302</v>
      </c>
      <c r="K38" s="7">
        <v>8.9048</v>
      </c>
      <c r="L38" s="3">
        <f t="shared" si="7"/>
        <v>49.6970871904231</v>
      </c>
      <c r="N38" s="3">
        <v>9.21</v>
      </c>
      <c r="O38" s="3">
        <f t="shared" si="0"/>
        <v>11.273299999999999</v>
      </c>
      <c r="P38" s="21">
        <f t="shared" si="1"/>
        <v>21910.828025477706</v>
      </c>
      <c r="Q38" s="21">
        <f t="shared" si="1"/>
        <v>121783.43949044585</v>
      </c>
      <c r="R38" s="21">
        <f t="shared" si="1"/>
        <v>16815.286624203818</v>
      </c>
      <c r="S38" s="21">
        <f t="shared" si="1"/>
        <v>39745.2229299363</v>
      </c>
      <c r="T38" s="21">
        <f t="shared" si="2"/>
        <v>200254.77707006366</v>
      </c>
      <c r="U38" s="24">
        <f t="shared" si="3"/>
        <v>3.814322336849015</v>
      </c>
      <c r="V38" s="24">
        <f t="shared" si="3"/>
        <v>21.200535779230574</v>
      </c>
      <c r="W38" s="24">
        <f t="shared" si="3"/>
        <v>2.9272706306050584</v>
      </c>
      <c r="X38" s="24">
        <f t="shared" si="3"/>
        <v>6.919003308702865</v>
      </c>
      <c r="Y38" s="24">
        <f t="shared" si="4"/>
        <v>34.86113205538751</v>
      </c>
      <c r="Z38" s="24">
        <f t="shared" si="5"/>
        <v>7.675142654203799</v>
      </c>
      <c r="AA38" s="24">
        <f t="shared" si="5"/>
        <v>42.65951382220251</v>
      </c>
      <c r="AB38" s="24">
        <f t="shared" si="5"/>
        <v>5.890225757877334</v>
      </c>
      <c r="AC38" s="24">
        <f t="shared" si="5"/>
        <v>13.922351791346426</v>
      </c>
      <c r="AD38" s="24">
        <f t="shared" si="6"/>
        <v>70.14723402563007</v>
      </c>
      <c r="AE38" s="21"/>
      <c r="AF38" s="34"/>
      <c r="AG38" s="35"/>
      <c r="AH38" s="35"/>
      <c r="AI38" s="35"/>
      <c r="AJ38" s="35"/>
    </row>
    <row r="39" spans="1:36" ht="12.75">
      <c r="A39" s="1">
        <v>5</v>
      </c>
      <c r="B39" s="1" t="s">
        <v>11</v>
      </c>
      <c r="C39" s="3">
        <v>1</v>
      </c>
      <c r="D39" s="3">
        <v>71</v>
      </c>
      <c r="E39" s="3">
        <v>161</v>
      </c>
      <c r="F39" s="3">
        <v>25</v>
      </c>
      <c r="G39" s="3">
        <v>65</v>
      </c>
      <c r="H39" s="4" t="s">
        <v>75</v>
      </c>
      <c r="I39" s="7">
        <v>8.1055</v>
      </c>
      <c r="J39" s="7">
        <v>10.0833</v>
      </c>
      <c r="K39" s="7">
        <v>8.5821</v>
      </c>
      <c r="L39" s="3">
        <f t="shared" si="7"/>
        <v>75.90251794923647</v>
      </c>
      <c r="N39" s="3">
        <v>9.54</v>
      </c>
      <c r="O39" s="3">
        <f t="shared" si="0"/>
        <v>11.5178</v>
      </c>
      <c r="P39" s="21">
        <f t="shared" si="1"/>
        <v>36178.34394904458</v>
      </c>
      <c r="Q39" s="21">
        <f t="shared" si="1"/>
        <v>82038.21656050954</v>
      </c>
      <c r="R39" s="21">
        <f t="shared" si="1"/>
        <v>12738.853503184711</v>
      </c>
      <c r="S39" s="21">
        <f t="shared" si="1"/>
        <v>33121.01910828025</v>
      </c>
      <c r="T39" s="21">
        <f t="shared" si="2"/>
        <v>164076.43312101907</v>
      </c>
      <c r="U39" s="24">
        <f t="shared" si="3"/>
        <v>6.164371668200525</v>
      </c>
      <c r="V39" s="24">
        <f t="shared" si="3"/>
        <v>13.97836392366598</v>
      </c>
      <c r="W39" s="24">
        <f t="shared" si="3"/>
        <v>2.1705534042959593</v>
      </c>
      <c r="X39" s="24">
        <f t="shared" si="3"/>
        <v>5.643438851169495</v>
      </c>
      <c r="Y39" s="24">
        <f t="shared" si="4"/>
        <v>27.95672784733196</v>
      </c>
      <c r="Z39" s="24">
        <f t="shared" si="5"/>
        <v>8.121432377675864</v>
      </c>
      <c r="AA39" s="24">
        <f t="shared" si="5"/>
        <v>18.416205814166396</v>
      </c>
      <c r="AB39" s="24">
        <f t="shared" si="5"/>
        <v>2.8596592879140363</v>
      </c>
      <c r="AC39" s="24">
        <f t="shared" si="5"/>
        <v>7.435114148576495</v>
      </c>
      <c r="AD39" s="24">
        <f t="shared" si="6"/>
        <v>36.83241162833279</v>
      </c>
      <c r="AE39" s="21">
        <f t="shared" si="8"/>
        <v>151592.35668789805</v>
      </c>
      <c r="AF39" s="34">
        <f t="shared" si="9"/>
        <v>12484.076433121192</v>
      </c>
      <c r="AG39" s="35">
        <f t="shared" si="10"/>
        <v>20.208282136021754</v>
      </c>
      <c r="AH39" s="35">
        <f t="shared" si="11"/>
        <v>7.748445711310206</v>
      </c>
      <c r="AI39" s="35">
        <f t="shared" si="12"/>
        <v>29.563988762124705</v>
      </c>
      <c r="AJ39" s="35">
        <f t="shared" si="13"/>
        <v>7.268422866208084</v>
      </c>
    </row>
    <row r="40" spans="1:36" ht="12.75">
      <c r="A40" s="1">
        <v>5</v>
      </c>
      <c r="B40" s="1" t="s">
        <v>11</v>
      </c>
      <c r="C40" s="3">
        <v>2</v>
      </c>
      <c r="D40" s="3">
        <v>110</v>
      </c>
      <c r="E40" s="3">
        <v>79</v>
      </c>
      <c r="F40" s="3">
        <v>44</v>
      </c>
      <c r="G40" s="3">
        <v>40</v>
      </c>
      <c r="H40" s="4" t="s">
        <v>163</v>
      </c>
      <c r="I40" s="7">
        <v>7.7449</v>
      </c>
      <c r="J40" s="7">
        <v>9.4153</v>
      </c>
      <c r="K40" s="7">
        <v>8.4818</v>
      </c>
      <c r="L40" s="3">
        <f t="shared" si="7"/>
        <v>55.88481800766287</v>
      </c>
      <c r="N40" s="3">
        <v>20.24</v>
      </c>
      <c r="O40" s="3">
        <f t="shared" si="0"/>
        <v>21.9104</v>
      </c>
      <c r="P40" s="21">
        <f t="shared" si="1"/>
        <v>56050.95541401273</v>
      </c>
      <c r="Q40" s="21">
        <f t="shared" si="1"/>
        <v>40254.77707006369</v>
      </c>
      <c r="R40" s="21">
        <f t="shared" si="1"/>
        <v>22420.382165605093</v>
      </c>
      <c r="S40" s="21">
        <f t="shared" si="1"/>
        <v>20382.16560509554</v>
      </c>
      <c r="T40" s="21">
        <f t="shared" si="2"/>
        <v>139108.28025477706</v>
      </c>
      <c r="U40" s="24">
        <f t="shared" si="3"/>
        <v>5.020446911055937</v>
      </c>
      <c r="V40" s="24">
        <f t="shared" si="3"/>
        <v>3.6055936906674457</v>
      </c>
      <c r="W40" s="24">
        <f t="shared" si="3"/>
        <v>2.0081787644223748</v>
      </c>
      <c r="X40" s="24">
        <f t="shared" si="3"/>
        <v>1.8256170585657954</v>
      </c>
      <c r="Y40" s="24">
        <f t="shared" si="4"/>
        <v>12.459836424711552</v>
      </c>
      <c r="Z40" s="24">
        <f t="shared" si="5"/>
        <v>8.983561350003033</v>
      </c>
      <c r="AA40" s="24">
        <f t="shared" si="5"/>
        <v>6.451830424093088</v>
      </c>
      <c r="AB40" s="24">
        <f t="shared" si="5"/>
        <v>3.5934245400012133</v>
      </c>
      <c r="AC40" s="24">
        <f t="shared" si="5"/>
        <v>3.2667495818192847</v>
      </c>
      <c r="AD40" s="24">
        <f t="shared" si="6"/>
        <v>22.295565895916617</v>
      </c>
      <c r="AE40" s="21"/>
      <c r="AF40" s="34"/>
      <c r="AG40" s="35"/>
      <c r="AH40" s="35"/>
      <c r="AI40" s="35"/>
      <c r="AJ40" s="35"/>
    </row>
    <row r="41" spans="1:36" ht="12.75">
      <c r="A41" s="1">
        <v>5</v>
      </c>
      <c r="B41" s="1" t="s">
        <v>12</v>
      </c>
      <c r="C41" s="3">
        <v>1</v>
      </c>
      <c r="D41" s="3">
        <v>104</v>
      </c>
      <c r="E41" s="3">
        <v>164</v>
      </c>
      <c r="F41" s="3">
        <v>37</v>
      </c>
      <c r="G41" s="3">
        <v>98</v>
      </c>
      <c r="H41" s="4" t="s">
        <v>76</v>
      </c>
      <c r="I41" s="7">
        <v>8.5075</v>
      </c>
      <c r="J41" s="7">
        <v>10.2624</v>
      </c>
      <c r="K41" s="7">
        <v>8.8828</v>
      </c>
      <c r="L41" s="3">
        <f t="shared" si="7"/>
        <v>78.61416604934756</v>
      </c>
      <c r="N41" s="3">
        <v>9.69</v>
      </c>
      <c r="O41" s="3">
        <f t="shared" si="0"/>
        <v>11.444899999999999</v>
      </c>
      <c r="P41" s="21">
        <f t="shared" si="1"/>
        <v>52993.6305732484</v>
      </c>
      <c r="Q41" s="21">
        <f t="shared" si="1"/>
        <v>83566.8789808917</v>
      </c>
      <c r="R41" s="21">
        <f t="shared" si="1"/>
        <v>18853.503184713372</v>
      </c>
      <c r="S41" s="21">
        <f t="shared" si="1"/>
        <v>49936.30573248407</v>
      </c>
      <c r="T41" s="21">
        <f t="shared" si="2"/>
        <v>205350.31847133752</v>
      </c>
      <c r="U41" s="24">
        <f t="shared" si="3"/>
        <v>9.087016924569022</v>
      </c>
      <c r="V41" s="24">
        <f t="shared" si="3"/>
        <v>14.32952668874346</v>
      </c>
      <c r="W41" s="24">
        <f t="shared" si="3"/>
        <v>3.2328810212409023</v>
      </c>
      <c r="X41" s="24">
        <f t="shared" si="3"/>
        <v>8.56276594815158</v>
      </c>
      <c r="Y41" s="24">
        <f t="shared" si="4"/>
        <v>35.21219058270496</v>
      </c>
      <c r="Z41" s="24">
        <f t="shared" si="5"/>
        <v>11.559006959210043</v>
      </c>
      <c r="AA41" s="24">
        <f t="shared" si="5"/>
        <v>18.22766482029276</v>
      </c>
      <c r="AB41" s="24">
        <f t="shared" si="5"/>
        <v>4.112339014334342</v>
      </c>
      <c r="AC41" s="24">
        <f t="shared" si="5"/>
        <v>10.892141173101772</v>
      </c>
      <c r="AD41" s="24">
        <f t="shared" si="6"/>
        <v>44.79115196693892</v>
      </c>
      <c r="AE41" s="21">
        <f t="shared" si="8"/>
        <v>202547.7707006369</v>
      </c>
      <c r="AF41" s="34">
        <f t="shared" si="9"/>
        <v>2802.547770700294</v>
      </c>
      <c r="AG41" s="35">
        <f t="shared" si="10"/>
        <v>37.295485121179894</v>
      </c>
      <c r="AH41" s="35">
        <f t="shared" si="11"/>
        <v>2.0832945384749584</v>
      </c>
      <c r="AI41" s="35">
        <f t="shared" si="12"/>
        <v>48.88590095693293</v>
      </c>
      <c r="AJ41" s="35">
        <f t="shared" si="13"/>
        <v>4.094748989993982</v>
      </c>
    </row>
    <row r="42" spans="1:31" ht="12.75">
      <c r="A42" s="1">
        <v>5</v>
      </c>
      <c r="B42" s="1" t="s">
        <v>12</v>
      </c>
      <c r="C42" s="3">
        <v>2</v>
      </c>
      <c r="D42" s="3">
        <v>74</v>
      </c>
      <c r="E42" s="3">
        <f>180+8</f>
        <v>188</v>
      </c>
      <c r="F42" s="3">
        <v>13</v>
      </c>
      <c r="G42" s="3">
        <v>117</v>
      </c>
      <c r="H42" s="4" t="s">
        <v>164</v>
      </c>
      <c r="I42" s="7">
        <v>7.8119</v>
      </c>
      <c r="J42" s="7">
        <v>9.6165</v>
      </c>
      <c r="K42" s="7">
        <v>8.2752</v>
      </c>
      <c r="L42" s="3">
        <f t="shared" si="7"/>
        <v>74.32672060290369</v>
      </c>
      <c r="N42" s="3">
        <v>8.15</v>
      </c>
      <c r="O42" s="3">
        <f t="shared" si="0"/>
        <v>9.954600000000001</v>
      </c>
      <c r="P42" s="21">
        <f t="shared" si="1"/>
        <v>37707.006369426745</v>
      </c>
      <c r="Q42" s="21">
        <f t="shared" si="1"/>
        <v>95796.17834394902</v>
      </c>
      <c r="R42" s="21">
        <f t="shared" si="1"/>
        <v>6624.20382165605</v>
      </c>
      <c r="S42" s="21">
        <f t="shared" si="1"/>
        <v>59617.83439490445</v>
      </c>
      <c r="T42" s="21">
        <f t="shared" si="2"/>
        <v>199745.22292993625</v>
      </c>
      <c r="U42" s="24">
        <f t="shared" si="3"/>
        <v>7.433749221465453</v>
      </c>
      <c r="V42" s="24">
        <f t="shared" si="3"/>
        <v>18.885741265344663</v>
      </c>
      <c r="W42" s="24">
        <f t="shared" si="3"/>
        <v>1.3059289172844715</v>
      </c>
      <c r="X42" s="24">
        <f t="shared" si="3"/>
        <v>11.753360255560242</v>
      </c>
      <c r="Y42" s="24">
        <f t="shared" si="4"/>
        <v>39.37877965965483</v>
      </c>
      <c r="Z42" s="24">
        <f t="shared" si="5"/>
        <v>10.001449224674984</v>
      </c>
      <c r="AA42" s="24">
        <f t="shared" si="5"/>
        <v>25.40908721944455</v>
      </c>
      <c r="AB42" s="24">
        <f t="shared" si="5"/>
        <v>1.7570113502807403</v>
      </c>
      <c r="AC42" s="24">
        <f t="shared" si="5"/>
        <v>15.813102152526662</v>
      </c>
      <c r="AD42" s="24">
        <f t="shared" si="6"/>
        <v>52.98064994692694</v>
      </c>
      <c r="AE42" s="21"/>
    </row>
    <row r="45" ht="12.75">
      <c r="L45" s="1">
        <f>AVERAGE(L3:L10)</f>
        <v>44.92024959378912</v>
      </c>
    </row>
    <row r="46" ht="12.75">
      <c r="L46" s="1">
        <f>AVERAGE(L11:L18)</f>
        <v>54.70759981560095</v>
      </c>
    </row>
    <row r="47" ht="12.75">
      <c r="L47" s="1">
        <f>AVERAGE(L19:L26)</f>
        <v>47.34264631456933</v>
      </c>
    </row>
    <row r="48" ht="12.75">
      <c r="L48" s="1">
        <f>AVERAGE(L27:L34)</f>
        <v>50.663953017323436</v>
      </c>
    </row>
    <row r="49" ht="12.75">
      <c r="L49" s="1">
        <f>AVERAGE(L35:L42)</f>
        <v>62.47717883295931</v>
      </c>
    </row>
  </sheetData>
  <mergeCells count="4">
    <mergeCell ref="A1:H1"/>
    <mergeCell ref="I1:I2"/>
    <mergeCell ref="J1:J2"/>
    <mergeCell ref="K1: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9"/>
  <sheetViews>
    <sheetView workbookViewId="0" topLeftCell="A1">
      <pane xSplit="3" ySplit="2" topLeftCell="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24" sqref="K24"/>
    </sheetView>
  </sheetViews>
  <sheetFormatPr defaultColWidth="9.140625" defaultRowHeight="12.75"/>
  <cols>
    <col min="1" max="1" width="7.00390625" style="1" customWidth="1"/>
    <col min="2" max="2" width="9.140625" style="1" customWidth="1"/>
    <col min="3" max="3" width="5.140625" style="1" customWidth="1"/>
    <col min="4" max="4" width="10.8515625" style="1" customWidth="1"/>
    <col min="5" max="7" width="9.140625" style="1" customWidth="1"/>
    <col min="8" max="8" width="20.140625" style="2" customWidth="1"/>
    <col min="9" max="9" width="9.140625" style="6" customWidth="1"/>
    <col min="10" max="10" width="11.28125" style="6" customWidth="1"/>
    <col min="11" max="11" width="9.140625" style="6" customWidth="1"/>
    <col min="12" max="12" width="9.140625" style="11" customWidth="1"/>
    <col min="13" max="13" width="10.140625" style="11" customWidth="1"/>
    <col min="14" max="16384" width="9.140625" style="1" customWidth="1"/>
  </cols>
  <sheetData>
    <row r="1" spans="1:31" ht="12.75">
      <c r="A1" s="52" t="s">
        <v>0</v>
      </c>
      <c r="B1" s="52"/>
      <c r="C1" s="52"/>
      <c r="D1" s="52"/>
      <c r="E1" s="52"/>
      <c r="F1" s="52"/>
      <c r="G1" s="52"/>
      <c r="H1" s="52"/>
      <c r="I1" s="54" t="s">
        <v>115</v>
      </c>
      <c r="J1" s="54" t="s">
        <v>122</v>
      </c>
      <c r="K1" s="54" t="s">
        <v>115</v>
      </c>
      <c r="L1" s="56" t="s">
        <v>123</v>
      </c>
      <c r="M1" s="10"/>
      <c r="N1" s="13" t="s">
        <v>187</v>
      </c>
      <c r="O1" s="13" t="s">
        <v>185</v>
      </c>
      <c r="P1" s="13" t="s">
        <v>188</v>
      </c>
      <c r="Q1" s="19"/>
      <c r="R1" s="19"/>
      <c r="S1" s="19"/>
      <c r="T1" s="19"/>
      <c r="U1" s="19"/>
      <c r="V1" s="22"/>
      <c r="W1" s="22"/>
      <c r="X1" s="22"/>
      <c r="Y1" s="22"/>
      <c r="Z1" s="22"/>
      <c r="AA1" s="22"/>
      <c r="AB1" s="22"/>
      <c r="AC1" s="22"/>
      <c r="AD1" s="23"/>
      <c r="AE1" s="23"/>
    </row>
    <row r="2" spans="1:31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5"/>
      <c r="J2" s="55"/>
      <c r="K2" s="55"/>
      <c r="L2" s="57"/>
      <c r="M2" s="25" t="s">
        <v>269</v>
      </c>
      <c r="N2" s="14" t="s">
        <v>184</v>
      </c>
      <c r="O2" s="14" t="s">
        <v>186</v>
      </c>
      <c r="P2" t="s">
        <v>189</v>
      </c>
      <c r="Q2" s="20" t="s">
        <v>248</v>
      </c>
      <c r="R2" s="20" t="s">
        <v>249</v>
      </c>
      <c r="S2" s="20" t="s">
        <v>250</v>
      </c>
      <c r="T2" s="20" t="s">
        <v>251</v>
      </c>
      <c r="U2" s="20" t="s">
        <v>252</v>
      </c>
      <c r="V2" s="23" t="s">
        <v>253</v>
      </c>
      <c r="W2" s="23" t="s">
        <v>254</v>
      </c>
      <c r="X2" s="23" t="s">
        <v>255</v>
      </c>
      <c r="Y2" s="23" t="s">
        <v>256</v>
      </c>
      <c r="Z2" s="23" t="s">
        <v>257</v>
      </c>
      <c r="AA2" s="23" t="s">
        <v>258</v>
      </c>
      <c r="AB2" s="23" t="s">
        <v>259</v>
      </c>
      <c r="AC2" s="23" t="s">
        <v>260</v>
      </c>
      <c r="AD2" s="23" t="s">
        <v>261</v>
      </c>
      <c r="AE2" s="23" t="s">
        <v>262</v>
      </c>
    </row>
    <row r="3" spans="1:31" s="3" customFormat="1" ht="12.75">
      <c r="A3" s="3">
        <v>1</v>
      </c>
      <c r="B3" s="3" t="s">
        <v>9</v>
      </c>
      <c r="C3" s="3">
        <v>1</v>
      </c>
      <c r="D3" s="3">
        <v>113</v>
      </c>
      <c r="E3" s="3">
        <v>149</v>
      </c>
      <c r="F3" s="3">
        <v>38</v>
      </c>
      <c r="G3" s="3">
        <v>128</v>
      </c>
      <c r="H3" s="4" t="s">
        <v>129</v>
      </c>
      <c r="I3" s="9">
        <v>7.3159</v>
      </c>
      <c r="J3" s="9">
        <v>9.0159</v>
      </c>
      <c r="K3" s="9">
        <v>8.0174</v>
      </c>
      <c r="L3" s="10">
        <f>100*(J3-K3)/(J3-I3)</f>
        <v>58.73529411764705</v>
      </c>
      <c r="M3" s="10">
        <f>AVERAGE(L3:L5)</f>
        <v>60.03695255386574</v>
      </c>
      <c r="O3" s="3">
        <v>7.32</v>
      </c>
      <c r="P3" s="3">
        <f>O3+(J3-I3)</f>
        <v>9.02</v>
      </c>
      <c r="Q3" s="21">
        <f>D3/((0.025*0.025)*3.14)</f>
        <v>57579.6178343949</v>
      </c>
      <c r="R3" s="21">
        <f>E3/((0.025*0.025)*3.14)</f>
        <v>75923.56687898088</v>
      </c>
      <c r="S3" s="21">
        <f>F3/((0.025*0.025)*3.14)</f>
        <v>19363.05732484076</v>
      </c>
      <c r="T3" s="21">
        <f>G3/((0.025*0.025)*3.14)</f>
        <v>65222.92993630572</v>
      </c>
      <c r="U3" s="21">
        <f>SUM(Q3:T3)</f>
        <v>218089.1719745223</v>
      </c>
      <c r="V3" s="24">
        <f aca="true" t="shared" si="0" ref="V3:V42">D3/$P3</f>
        <v>12.527716186252773</v>
      </c>
      <c r="W3" s="24">
        <f aca="true" t="shared" si="1" ref="W3:W42">E3/$P3</f>
        <v>16.518847006651885</v>
      </c>
      <c r="X3" s="24">
        <f aca="true" t="shared" si="2" ref="X3:X42">F3/$P3</f>
        <v>4.212860310421286</v>
      </c>
      <c r="Y3" s="24">
        <f aca="true" t="shared" si="3" ref="Y3:Y42">G3/$P3</f>
        <v>14.19068736141907</v>
      </c>
      <c r="Z3" s="24">
        <f>SUM(V3:Y3)</f>
        <v>47.450110864745014</v>
      </c>
      <c r="AA3" s="24">
        <f aca="true" t="shared" si="4" ref="AA3:AA42">D3/($P3*($L3/100))</f>
        <v>21.32911118340482</v>
      </c>
      <c r="AB3" s="24">
        <f aca="true" t="shared" si="5" ref="AB3:AB42">E3/($P3*($L3/100))</f>
        <v>28.124226250684234</v>
      </c>
      <c r="AC3" s="24">
        <f aca="true" t="shared" si="6" ref="AC3:AC42">F3/($P3*($L3/100))</f>
        <v>7.172621459906046</v>
      </c>
      <c r="AD3" s="24">
        <f aca="true" t="shared" si="7" ref="AD3:AD42">G3/($P3*($L3/100))</f>
        <v>24.160409128104575</v>
      </c>
      <c r="AE3" s="24">
        <f>SUM(AA3:AD3)</f>
        <v>80.78636802209968</v>
      </c>
    </row>
    <row r="4" spans="1:31" ht="12.75">
      <c r="A4" s="1">
        <v>1</v>
      </c>
      <c r="B4" s="1" t="s">
        <v>9</v>
      </c>
      <c r="C4" s="1">
        <v>2</v>
      </c>
      <c r="D4" s="1">
        <v>312</v>
      </c>
      <c r="E4" s="1">
        <v>237</v>
      </c>
      <c r="F4" s="1">
        <v>58</v>
      </c>
      <c r="G4" s="1">
        <v>192</v>
      </c>
      <c r="H4" s="2" t="s">
        <v>40</v>
      </c>
      <c r="I4" s="9">
        <v>7.7452</v>
      </c>
      <c r="J4" s="9">
        <v>9.781</v>
      </c>
      <c r="K4" s="9">
        <v>8.7294</v>
      </c>
      <c r="L4" s="10">
        <f aca="true" t="shared" si="8" ref="L4:L62">100*(J4-K4)/(J4-I4)</f>
        <v>51.65536889674821</v>
      </c>
      <c r="M4" s="10"/>
      <c r="O4" s="1">
        <v>4.6</v>
      </c>
      <c r="P4" s="3">
        <f aca="true" t="shared" si="9" ref="P4:P62">O4+(J4-I4)</f>
        <v>6.635800000000001</v>
      </c>
      <c r="Q4" s="21">
        <f aca="true" t="shared" si="10" ref="Q4:T42">D4/((0.025*0.025)*3.14)</f>
        <v>158980.8917197452</v>
      </c>
      <c r="R4" s="21">
        <f t="shared" si="10"/>
        <v>120764.33121019107</v>
      </c>
      <c r="S4" s="21">
        <f t="shared" si="10"/>
        <v>29554.14012738853</v>
      </c>
      <c r="T4" s="21">
        <f t="shared" si="10"/>
        <v>97834.39490445859</v>
      </c>
      <c r="U4" s="21">
        <f aca="true" t="shared" si="11" ref="U4:U42">SUM(Q4:T4)</f>
        <v>407133.7579617834</v>
      </c>
      <c r="V4" s="24">
        <f t="shared" si="0"/>
        <v>47.01769191355978</v>
      </c>
      <c r="W4" s="24">
        <f t="shared" si="1"/>
        <v>35.71536212664637</v>
      </c>
      <c r="X4" s="24">
        <f t="shared" si="2"/>
        <v>8.740468368546368</v>
      </c>
      <c r="Y4" s="24">
        <f t="shared" si="3"/>
        <v>28.933964254498324</v>
      </c>
      <c r="Z4" s="24">
        <f aca="true" t="shared" si="12" ref="Z4:Z42">SUM(V4:Y4)</f>
        <v>120.40748666325085</v>
      </c>
      <c r="AA4" s="24">
        <f t="shared" si="4"/>
        <v>91.02188778777575</v>
      </c>
      <c r="AB4" s="24">
        <f t="shared" si="5"/>
        <v>69.14162630032966</v>
      </c>
      <c r="AC4" s="24">
        <f t="shared" si="6"/>
        <v>16.920735550291646</v>
      </c>
      <c r="AD4" s="24">
        <f t="shared" si="7"/>
        <v>56.013469407862004</v>
      </c>
      <c r="AE4" s="24">
        <f aca="true" t="shared" si="13" ref="AE4:AE42">SUM(AA4:AD4)</f>
        <v>233.09771904625907</v>
      </c>
    </row>
    <row r="5" spans="1:31" ht="12.75">
      <c r="A5" s="1">
        <v>1</v>
      </c>
      <c r="B5" s="1" t="s">
        <v>9</v>
      </c>
      <c r="C5" s="1">
        <v>3</v>
      </c>
      <c r="D5" s="1">
        <v>70</v>
      </c>
      <c r="E5" s="1">
        <v>109</v>
      </c>
      <c r="F5" s="1">
        <v>6</v>
      </c>
      <c r="G5" s="1">
        <v>66</v>
      </c>
      <c r="H5" s="2" t="s">
        <v>41</v>
      </c>
      <c r="I5" s="9">
        <v>7.8118</v>
      </c>
      <c r="J5" s="9">
        <v>9.4558</v>
      </c>
      <c r="K5" s="9">
        <v>8.3096</v>
      </c>
      <c r="L5" s="10">
        <f t="shared" si="8"/>
        <v>69.72019464720196</v>
      </c>
      <c r="M5" s="10"/>
      <c r="O5" s="1">
        <v>6.62</v>
      </c>
      <c r="P5" s="3">
        <f t="shared" si="9"/>
        <v>8.264</v>
      </c>
      <c r="Q5" s="21">
        <f t="shared" si="10"/>
        <v>35668.789808917194</v>
      </c>
      <c r="R5" s="21">
        <f t="shared" si="10"/>
        <v>55541.40127388534</v>
      </c>
      <c r="S5" s="21">
        <f t="shared" si="10"/>
        <v>3057.324840764331</v>
      </c>
      <c r="T5" s="21">
        <f t="shared" si="10"/>
        <v>33630.573248407636</v>
      </c>
      <c r="U5" s="21">
        <f t="shared" si="11"/>
        <v>127898.08917197451</v>
      </c>
      <c r="V5" s="24">
        <f t="shared" si="0"/>
        <v>8.470474346563408</v>
      </c>
      <c r="W5" s="24">
        <f t="shared" si="1"/>
        <v>13.189738625363022</v>
      </c>
      <c r="X5" s="24">
        <f t="shared" si="2"/>
        <v>0.7260406582768636</v>
      </c>
      <c r="Y5" s="24">
        <f t="shared" si="3"/>
        <v>7.986447241045499</v>
      </c>
      <c r="Z5" s="24">
        <f t="shared" si="12"/>
        <v>30.372700871248796</v>
      </c>
      <c r="AA5" s="24">
        <f t="shared" si="4"/>
        <v>12.149240818138406</v>
      </c>
      <c r="AB5" s="24">
        <f t="shared" si="5"/>
        <v>18.91810355967266</v>
      </c>
      <c r="AC5" s="24">
        <f t="shared" si="6"/>
        <v>1.0413634986975777</v>
      </c>
      <c r="AD5" s="24">
        <f t="shared" si="7"/>
        <v>11.454998485673354</v>
      </c>
      <c r="AE5" s="24">
        <f t="shared" si="13"/>
        <v>43.56370636218199</v>
      </c>
    </row>
    <row r="6" spans="1:31" s="3" customFormat="1" ht="12.75">
      <c r="A6" s="3">
        <v>1</v>
      </c>
      <c r="B6" s="3" t="s">
        <v>10</v>
      </c>
      <c r="C6" s="3">
        <v>1</v>
      </c>
      <c r="D6" s="3">
        <v>76</v>
      </c>
      <c r="E6" s="3">
        <v>211</v>
      </c>
      <c r="F6" s="3">
        <v>19</v>
      </c>
      <c r="G6" s="3">
        <v>140</v>
      </c>
      <c r="H6" s="4" t="s">
        <v>130</v>
      </c>
      <c r="I6" s="9">
        <v>8.0737</v>
      </c>
      <c r="J6" s="9">
        <v>10.4651</v>
      </c>
      <c r="K6" s="9">
        <v>9.3791</v>
      </c>
      <c r="L6" s="10">
        <f t="shared" si="8"/>
        <v>45.41272894538766</v>
      </c>
      <c r="M6" s="10">
        <f>AVERAGE(L6:L8)</f>
        <v>44.0910462187661</v>
      </c>
      <c r="O6" s="3">
        <v>8.22</v>
      </c>
      <c r="P6" s="3">
        <f t="shared" si="9"/>
        <v>10.6114</v>
      </c>
      <c r="Q6" s="21">
        <f t="shared" si="10"/>
        <v>38726.11464968152</v>
      </c>
      <c r="R6" s="21">
        <f t="shared" si="10"/>
        <v>107515.92356687896</v>
      </c>
      <c r="S6" s="21">
        <f t="shared" si="10"/>
        <v>9681.52866242038</v>
      </c>
      <c r="T6" s="21">
        <f t="shared" si="10"/>
        <v>71337.57961783439</v>
      </c>
      <c r="U6" s="21">
        <f t="shared" si="11"/>
        <v>227261.14649681526</v>
      </c>
      <c r="V6" s="24">
        <f t="shared" si="0"/>
        <v>7.1621086755753245</v>
      </c>
      <c r="W6" s="24">
        <f t="shared" si="1"/>
        <v>19.88427540192623</v>
      </c>
      <c r="X6" s="24">
        <f t="shared" si="2"/>
        <v>1.7905271688938311</v>
      </c>
      <c r="Y6" s="24">
        <f t="shared" si="3"/>
        <v>13.193358086586125</v>
      </c>
      <c r="Z6" s="24">
        <f t="shared" si="12"/>
        <v>42.03026933298151</v>
      </c>
      <c r="AA6" s="24">
        <f t="shared" si="4"/>
        <v>15.771147962035746</v>
      </c>
      <c r="AB6" s="24">
        <f t="shared" si="5"/>
        <v>43.78568710512556</v>
      </c>
      <c r="AC6" s="24">
        <f t="shared" si="6"/>
        <v>3.9427869905089366</v>
      </c>
      <c r="AD6" s="24">
        <f t="shared" si="7"/>
        <v>29.052114666907954</v>
      </c>
      <c r="AE6" s="24">
        <f t="shared" si="13"/>
        <v>92.5517367245782</v>
      </c>
    </row>
    <row r="7" spans="1:31" ht="12.75">
      <c r="A7" s="1">
        <v>1</v>
      </c>
      <c r="B7" s="1" t="s">
        <v>10</v>
      </c>
      <c r="C7" s="1">
        <v>2</v>
      </c>
      <c r="D7" s="1">
        <v>18</v>
      </c>
      <c r="E7" s="1">
        <v>43</v>
      </c>
      <c r="F7" s="1">
        <v>2</v>
      </c>
      <c r="G7" s="1">
        <v>82</v>
      </c>
      <c r="H7" s="2" t="s">
        <v>40</v>
      </c>
      <c r="I7" s="9">
        <v>7.6335</v>
      </c>
      <c r="J7" s="9">
        <v>10.2238</v>
      </c>
      <c r="K7" s="9">
        <v>9.3049</v>
      </c>
      <c r="L7" s="10">
        <f t="shared" si="8"/>
        <v>35.47465544531523</v>
      </c>
      <c r="M7" s="10"/>
      <c r="O7" s="1">
        <v>13.56</v>
      </c>
      <c r="P7" s="3">
        <f t="shared" si="9"/>
        <v>16.1503</v>
      </c>
      <c r="Q7" s="21">
        <f t="shared" si="10"/>
        <v>9171.974522292992</v>
      </c>
      <c r="R7" s="21">
        <f t="shared" si="10"/>
        <v>21910.828025477706</v>
      </c>
      <c r="S7" s="21">
        <f t="shared" si="10"/>
        <v>1019.1082802547769</v>
      </c>
      <c r="T7" s="21">
        <f t="shared" si="10"/>
        <v>41783.43949044585</v>
      </c>
      <c r="U7" s="21">
        <f t="shared" si="11"/>
        <v>73885.35031847132</v>
      </c>
      <c r="V7" s="24">
        <f t="shared" si="0"/>
        <v>1.1145303802406146</v>
      </c>
      <c r="W7" s="24">
        <f t="shared" si="1"/>
        <v>2.6624892416859125</v>
      </c>
      <c r="X7" s="24">
        <f t="shared" si="2"/>
        <v>0.12383670891562384</v>
      </c>
      <c r="Y7" s="24">
        <f t="shared" si="3"/>
        <v>5.077305065540577</v>
      </c>
      <c r="Z7" s="24">
        <f t="shared" si="12"/>
        <v>8.978161396382728</v>
      </c>
      <c r="AA7" s="24">
        <f t="shared" si="4"/>
        <v>3.141765201803529</v>
      </c>
      <c r="AB7" s="24">
        <f t="shared" si="5"/>
        <v>7.505327982086208</v>
      </c>
      <c r="AC7" s="24">
        <f t="shared" si="6"/>
        <v>0.34908502242261435</v>
      </c>
      <c r="AD7" s="24">
        <f t="shared" si="7"/>
        <v>14.312485919327187</v>
      </c>
      <c r="AE7" s="24">
        <f t="shared" si="13"/>
        <v>25.308664125639538</v>
      </c>
    </row>
    <row r="8" spans="1:31" ht="12.75">
      <c r="A8" s="1">
        <v>1</v>
      </c>
      <c r="B8" s="1" t="s">
        <v>10</v>
      </c>
      <c r="C8" s="1">
        <v>3</v>
      </c>
      <c r="D8" s="1">
        <v>56</v>
      </c>
      <c r="E8" s="1">
        <v>147</v>
      </c>
      <c r="F8" s="1">
        <v>26</v>
      </c>
      <c r="G8" s="1">
        <v>81</v>
      </c>
      <c r="H8" s="2" t="s">
        <v>13</v>
      </c>
      <c r="I8" s="9">
        <v>9.7185</v>
      </c>
      <c r="J8" s="9">
        <v>13.0416</v>
      </c>
      <c r="K8" s="9">
        <v>11.334</v>
      </c>
      <c r="L8" s="10">
        <f t="shared" si="8"/>
        <v>51.38575426559541</v>
      </c>
      <c r="M8" s="10"/>
      <c r="O8" s="1">
        <v>7.53</v>
      </c>
      <c r="P8" s="3">
        <f t="shared" si="9"/>
        <v>10.853100000000001</v>
      </c>
      <c r="Q8" s="21">
        <f t="shared" si="10"/>
        <v>28535.031847133752</v>
      </c>
      <c r="R8" s="21">
        <f t="shared" si="10"/>
        <v>74904.45859872611</v>
      </c>
      <c r="S8" s="21">
        <f t="shared" si="10"/>
        <v>13248.4076433121</v>
      </c>
      <c r="T8" s="21">
        <f t="shared" si="10"/>
        <v>41273.885350318465</v>
      </c>
      <c r="U8" s="21">
        <f t="shared" si="11"/>
        <v>157961.78343949042</v>
      </c>
      <c r="V8" s="24">
        <f t="shared" si="0"/>
        <v>5.159816089412241</v>
      </c>
      <c r="W8" s="24">
        <f t="shared" si="1"/>
        <v>13.544517234707133</v>
      </c>
      <c r="X8" s="24">
        <f t="shared" si="2"/>
        <v>2.3956288986556835</v>
      </c>
      <c r="Y8" s="24">
        <f t="shared" si="3"/>
        <v>7.463305415042706</v>
      </c>
      <c r="Z8" s="24">
        <f t="shared" si="12"/>
        <v>28.563267637817766</v>
      </c>
      <c r="AA8" s="24">
        <f t="shared" si="4"/>
        <v>10.041335703165734</v>
      </c>
      <c r="AB8" s="24">
        <f t="shared" si="5"/>
        <v>26.358506220810053</v>
      </c>
      <c r="AC8" s="24">
        <f t="shared" si="6"/>
        <v>4.662048719326948</v>
      </c>
      <c r="AD8" s="24">
        <f t="shared" si="7"/>
        <v>14.524074856364724</v>
      </c>
      <c r="AE8" s="24">
        <f t="shared" si="13"/>
        <v>55.58596549966745</v>
      </c>
    </row>
    <row r="9" spans="1:31" s="3" customFormat="1" ht="12.75">
      <c r="A9" s="3">
        <v>1</v>
      </c>
      <c r="B9" s="3" t="s">
        <v>11</v>
      </c>
      <c r="C9" s="3">
        <v>1</v>
      </c>
      <c r="D9" s="3">
        <v>56</v>
      </c>
      <c r="E9" s="3">
        <v>103</v>
      </c>
      <c r="F9" s="3">
        <v>22</v>
      </c>
      <c r="G9" s="3">
        <v>184</v>
      </c>
      <c r="H9" s="4" t="s">
        <v>131</v>
      </c>
      <c r="I9" s="9">
        <v>8.7301</v>
      </c>
      <c r="J9" s="9">
        <v>10.6368</v>
      </c>
      <c r="K9" s="9">
        <v>9.6566</v>
      </c>
      <c r="L9" s="10">
        <f t="shared" si="8"/>
        <v>51.40819216447267</v>
      </c>
      <c r="M9" s="10">
        <f>AVERAGE(L9:L11)</f>
        <v>55.04963564396803</v>
      </c>
      <c r="O9" s="3">
        <v>4.95</v>
      </c>
      <c r="P9" s="3">
        <f t="shared" si="9"/>
        <v>6.856699999999999</v>
      </c>
      <c r="Q9" s="21">
        <f t="shared" si="10"/>
        <v>28535.031847133752</v>
      </c>
      <c r="R9" s="21">
        <f t="shared" si="10"/>
        <v>52484.07643312101</v>
      </c>
      <c r="S9" s="21">
        <f t="shared" si="10"/>
        <v>11210.191082802547</v>
      </c>
      <c r="T9" s="21">
        <f t="shared" si="10"/>
        <v>93757.96178343947</v>
      </c>
      <c r="U9" s="21">
        <f t="shared" si="11"/>
        <v>185987.26114649678</v>
      </c>
      <c r="V9" s="24">
        <f t="shared" si="0"/>
        <v>8.167194131287646</v>
      </c>
      <c r="W9" s="24">
        <f t="shared" si="1"/>
        <v>15.021803491475493</v>
      </c>
      <c r="X9" s="24">
        <f t="shared" si="2"/>
        <v>3.20854055157729</v>
      </c>
      <c r="Y9" s="24">
        <f t="shared" si="3"/>
        <v>26.835066431373697</v>
      </c>
      <c r="Z9" s="24">
        <f t="shared" si="12"/>
        <v>53.23260460571413</v>
      </c>
      <c r="AA9" s="24">
        <f t="shared" si="4"/>
        <v>15.88695067346067</v>
      </c>
      <c r="AB9" s="24">
        <f t="shared" si="5"/>
        <v>29.220641417258015</v>
      </c>
      <c r="AC9" s="24">
        <f t="shared" si="6"/>
        <v>6.24130205028812</v>
      </c>
      <c r="AD9" s="24">
        <f t="shared" si="7"/>
        <v>52.19998078422791</v>
      </c>
      <c r="AE9" s="24">
        <f t="shared" si="13"/>
        <v>103.54887492523471</v>
      </c>
    </row>
    <row r="10" spans="1:31" ht="12.75">
      <c r="A10" s="1">
        <v>1</v>
      </c>
      <c r="B10" s="1" t="s">
        <v>11</v>
      </c>
      <c r="C10" s="1">
        <v>2</v>
      </c>
      <c r="D10" s="1">
        <v>58</v>
      </c>
      <c r="E10" s="1">
        <v>130</v>
      </c>
      <c r="F10" s="1">
        <v>33</v>
      </c>
      <c r="G10" s="1">
        <v>83</v>
      </c>
      <c r="H10" s="2" t="s">
        <v>14</v>
      </c>
      <c r="I10" s="9">
        <v>7.7004</v>
      </c>
      <c r="J10" s="9">
        <v>9.3431</v>
      </c>
      <c r="K10" s="9">
        <v>8.3898</v>
      </c>
      <c r="L10" s="10">
        <f t="shared" si="8"/>
        <v>58.03250745723508</v>
      </c>
      <c r="M10" s="10"/>
      <c r="O10" s="1">
        <v>12.65</v>
      </c>
      <c r="P10" s="3">
        <f t="shared" si="9"/>
        <v>14.2927</v>
      </c>
      <c r="Q10" s="21">
        <f t="shared" si="10"/>
        <v>29554.14012738853</v>
      </c>
      <c r="R10" s="21">
        <f t="shared" si="10"/>
        <v>66242.0382165605</v>
      </c>
      <c r="S10" s="21">
        <f t="shared" si="10"/>
        <v>16815.286624203818</v>
      </c>
      <c r="T10" s="21">
        <f t="shared" si="10"/>
        <v>42292.99363057324</v>
      </c>
      <c r="U10" s="21">
        <f t="shared" si="11"/>
        <v>154904.45859872608</v>
      </c>
      <c r="V10" s="24">
        <f t="shared" si="0"/>
        <v>4.058015630356755</v>
      </c>
      <c r="W10" s="24">
        <f t="shared" si="1"/>
        <v>9.095552274937555</v>
      </c>
      <c r="X10" s="24">
        <f t="shared" si="2"/>
        <v>2.308870962099533</v>
      </c>
      <c r="Y10" s="24">
        <f t="shared" si="3"/>
        <v>5.807160298613978</v>
      </c>
      <c r="Z10" s="24">
        <f t="shared" si="12"/>
        <v>21.269599166007822</v>
      </c>
      <c r="AA10" s="24">
        <f t="shared" si="4"/>
        <v>6.992659473394564</v>
      </c>
      <c r="AB10" s="24">
        <f t="shared" si="5"/>
        <v>15.673202267953334</v>
      </c>
      <c r="AC10" s="24">
        <f t="shared" si="6"/>
        <v>3.9785821141727693</v>
      </c>
      <c r="AD10" s="24">
        <f t="shared" si="7"/>
        <v>10.00673683261636</v>
      </c>
      <c r="AE10" s="24">
        <f t="shared" si="13"/>
        <v>36.651180688137025</v>
      </c>
    </row>
    <row r="11" spans="1:31" ht="12.75">
      <c r="A11" s="1">
        <v>1</v>
      </c>
      <c r="B11" s="1" t="s">
        <v>11</v>
      </c>
      <c r="C11" s="1">
        <v>3</v>
      </c>
      <c r="D11" s="1">
        <v>37</v>
      </c>
      <c r="E11" s="1">
        <v>149</v>
      </c>
      <c r="F11" s="1">
        <v>19</v>
      </c>
      <c r="G11" s="1">
        <v>99</v>
      </c>
      <c r="H11" s="8" t="s">
        <v>149</v>
      </c>
      <c r="I11" s="9">
        <v>6.8657</v>
      </c>
      <c r="J11" s="9">
        <v>8.8164</v>
      </c>
      <c r="K11" s="9">
        <v>7.7297</v>
      </c>
      <c r="L11" s="10">
        <f t="shared" si="8"/>
        <v>55.708207310196336</v>
      </c>
      <c r="M11" s="10"/>
      <c r="O11" s="1">
        <v>5.59</v>
      </c>
      <c r="P11" s="3">
        <f t="shared" si="9"/>
        <v>7.540699999999999</v>
      </c>
      <c r="Q11" s="21">
        <f t="shared" si="10"/>
        <v>18853.503184713372</v>
      </c>
      <c r="R11" s="21">
        <f t="shared" si="10"/>
        <v>75923.56687898088</v>
      </c>
      <c r="S11" s="21">
        <f t="shared" si="10"/>
        <v>9681.52866242038</v>
      </c>
      <c r="T11" s="21">
        <f t="shared" si="10"/>
        <v>50445.85987261146</v>
      </c>
      <c r="U11" s="21">
        <f t="shared" si="11"/>
        <v>154904.45859872608</v>
      </c>
      <c r="V11" s="24">
        <f t="shared" si="0"/>
        <v>4.906706273953347</v>
      </c>
      <c r="W11" s="24">
        <f t="shared" si="1"/>
        <v>19.75943877889321</v>
      </c>
      <c r="X11" s="24">
        <f t="shared" si="2"/>
        <v>2.5196599785165836</v>
      </c>
      <c r="Y11" s="24">
        <f t="shared" si="3"/>
        <v>13.128754624902198</v>
      </c>
      <c r="Z11" s="24">
        <f t="shared" si="12"/>
        <v>40.31455965626534</v>
      </c>
      <c r="AA11" s="24">
        <f t="shared" si="4"/>
        <v>8.807869631545776</v>
      </c>
      <c r="AB11" s="24">
        <f t="shared" si="5"/>
        <v>35.46952905676542</v>
      </c>
      <c r="AC11" s="24">
        <f t="shared" si="6"/>
        <v>4.5229600810640465</v>
      </c>
      <c r="AD11" s="24">
        <f t="shared" si="7"/>
        <v>23.567002527649507</v>
      </c>
      <c r="AE11" s="24">
        <f t="shared" si="13"/>
        <v>72.36736129702476</v>
      </c>
    </row>
    <row r="12" spans="1:31" s="3" customFormat="1" ht="12.75">
      <c r="A12" s="3">
        <v>1</v>
      </c>
      <c r="B12" s="3" t="s">
        <v>12</v>
      </c>
      <c r="C12" s="3">
        <v>1</v>
      </c>
      <c r="D12" s="3">
        <v>160</v>
      </c>
      <c r="E12" s="3">
        <v>186</v>
      </c>
      <c r="F12" s="3">
        <v>38</v>
      </c>
      <c r="G12" s="3">
        <v>75</v>
      </c>
      <c r="H12" s="4" t="s">
        <v>132</v>
      </c>
      <c r="I12" s="9">
        <v>8.5718</v>
      </c>
      <c r="J12" s="9">
        <v>10.2493</v>
      </c>
      <c r="K12" s="9">
        <v>9.1533</v>
      </c>
      <c r="L12" s="10">
        <f t="shared" si="8"/>
        <v>65.33532041728763</v>
      </c>
      <c r="M12" s="10">
        <f>AVERAGE(L12:L14)</f>
        <v>60.198225098775744</v>
      </c>
      <c r="O12" s="3">
        <v>6.42</v>
      </c>
      <c r="P12" s="3">
        <f t="shared" si="9"/>
        <v>8.0975</v>
      </c>
      <c r="Q12" s="21">
        <f t="shared" si="10"/>
        <v>81528.66242038216</v>
      </c>
      <c r="R12" s="21">
        <f t="shared" si="10"/>
        <v>94777.07006369425</v>
      </c>
      <c r="S12" s="21">
        <f t="shared" si="10"/>
        <v>19363.05732484076</v>
      </c>
      <c r="T12" s="21">
        <f t="shared" si="10"/>
        <v>38216.56050955413</v>
      </c>
      <c r="U12" s="21">
        <f t="shared" si="11"/>
        <v>233885.3503184713</v>
      </c>
      <c r="V12" s="24">
        <f t="shared" si="0"/>
        <v>19.759184933621487</v>
      </c>
      <c r="W12" s="24">
        <f t="shared" si="1"/>
        <v>22.97005248533498</v>
      </c>
      <c r="X12" s="24">
        <f t="shared" si="2"/>
        <v>4.692806421735104</v>
      </c>
      <c r="Y12" s="24">
        <f t="shared" si="3"/>
        <v>9.262117937635072</v>
      </c>
      <c r="Z12" s="24">
        <f t="shared" si="12"/>
        <v>56.68416177832664</v>
      </c>
      <c r="AA12" s="24">
        <f t="shared" si="4"/>
        <v>30.242730589552963</v>
      </c>
      <c r="AB12" s="24">
        <f t="shared" si="5"/>
        <v>35.157174310355316</v>
      </c>
      <c r="AC12" s="24">
        <f t="shared" si="6"/>
        <v>7.182648515018828</v>
      </c>
      <c r="AD12" s="24">
        <f t="shared" si="7"/>
        <v>14.17627996385295</v>
      </c>
      <c r="AE12" s="24">
        <f t="shared" si="13"/>
        <v>86.75883337878005</v>
      </c>
    </row>
    <row r="13" spans="1:31" ht="12.75">
      <c r="A13" s="1">
        <v>1</v>
      </c>
      <c r="B13" s="1" t="s">
        <v>12</v>
      </c>
      <c r="C13" s="1">
        <v>2</v>
      </c>
      <c r="D13" s="1">
        <v>21</v>
      </c>
      <c r="E13" s="1">
        <v>105</v>
      </c>
      <c r="F13" s="1">
        <v>25</v>
      </c>
      <c r="G13" s="1">
        <v>39</v>
      </c>
      <c r="H13" s="2" t="s">
        <v>15</v>
      </c>
      <c r="I13" s="9">
        <v>8.4624</v>
      </c>
      <c r="J13" s="9">
        <v>10.4263</v>
      </c>
      <c r="K13" s="9">
        <v>9.5204</v>
      </c>
      <c r="L13" s="10">
        <f t="shared" si="8"/>
        <v>46.12760323845407</v>
      </c>
      <c r="M13" s="10"/>
      <c r="O13" s="1">
        <v>7.66</v>
      </c>
      <c r="P13" s="3">
        <f t="shared" si="9"/>
        <v>9.623899999999999</v>
      </c>
      <c r="Q13" s="21">
        <f t="shared" si="10"/>
        <v>10700.636942675157</v>
      </c>
      <c r="R13" s="21">
        <f t="shared" si="10"/>
        <v>53503.18471337579</v>
      </c>
      <c r="S13" s="21">
        <f t="shared" si="10"/>
        <v>12738.853503184711</v>
      </c>
      <c r="T13" s="21">
        <f t="shared" si="10"/>
        <v>19872.61146496815</v>
      </c>
      <c r="U13" s="21">
        <f t="shared" si="11"/>
        <v>96815.28662420381</v>
      </c>
      <c r="V13" s="24">
        <f t="shared" si="0"/>
        <v>2.182067560968007</v>
      </c>
      <c r="W13" s="24">
        <f t="shared" si="1"/>
        <v>10.910337804840035</v>
      </c>
      <c r="X13" s="24">
        <f t="shared" si="2"/>
        <v>2.597699477342865</v>
      </c>
      <c r="Y13" s="24">
        <f t="shared" si="3"/>
        <v>4.05241118465487</v>
      </c>
      <c r="Z13" s="24">
        <f t="shared" si="12"/>
        <v>19.742516027805777</v>
      </c>
      <c r="AA13" s="24">
        <f t="shared" si="4"/>
        <v>4.730502796097881</v>
      </c>
      <c r="AB13" s="24">
        <f t="shared" si="5"/>
        <v>23.652513980489406</v>
      </c>
      <c r="AC13" s="24">
        <f t="shared" si="6"/>
        <v>5.6315509477355725</v>
      </c>
      <c r="AD13" s="24">
        <f t="shared" si="7"/>
        <v>8.785219478467495</v>
      </c>
      <c r="AE13" s="24">
        <f t="shared" si="13"/>
        <v>42.799787202790355</v>
      </c>
    </row>
    <row r="14" spans="1:31" ht="12.75">
      <c r="A14" s="1">
        <v>1</v>
      </c>
      <c r="B14" s="1" t="s">
        <v>12</v>
      </c>
      <c r="C14" s="1">
        <v>3</v>
      </c>
      <c r="D14" s="1">
        <v>33</v>
      </c>
      <c r="E14" s="1">
        <v>204</v>
      </c>
      <c r="F14" s="1">
        <v>30</v>
      </c>
      <c r="G14" s="1">
        <v>46</v>
      </c>
      <c r="H14" s="2" t="s">
        <v>16</v>
      </c>
      <c r="I14" s="9">
        <v>8.5587</v>
      </c>
      <c r="J14" s="9">
        <v>10.1435</v>
      </c>
      <c r="K14" s="9">
        <v>9.0479</v>
      </c>
      <c r="L14" s="10">
        <f t="shared" si="8"/>
        <v>69.13175164058553</v>
      </c>
      <c r="M14" s="10"/>
      <c r="O14" s="1">
        <v>7.84</v>
      </c>
      <c r="P14" s="3">
        <f t="shared" si="9"/>
        <v>9.4248</v>
      </c>
      <c r="Q14" s="21">
        <f t="shared" si="10"/>
        <v>16815.286624203818</v>
      </c>
      <c r="R14" s="21">
        <f t="shared" si="10"/>
        <v>103949.04458598724</v>
      </c>
      <c r="S14" s="21">
        <f t="shared" si="10"/>
        <v>15286.624203821653</v>
      </c>
      <c r="T14" s="21">
        <f t="shared" si="10"/>
        <v>23439.49044585987</v>
      </c>
      <c r="U14" s="21">
        <f t="shared" si="11"/>
        <v>159490.4458598726</v>
      </c>
      <c r="V14" s="24">
        <f t="shared" si="0"/>
        <v>3.50140056022409</v>
      </c>
      <c r="W14" s="24">
        <f t="shared" si="1"/>
        <v>21.645021645021647</v>
      </c>
      <c r="X14" s="24">
        <f t="shared" si="2"/>
        <v>3.183091418385536</v>
      </c>
      <c r="Y14" s="24">
        <f t="shared" si="3"/>
        <v>4.880740174857822</v>
      </c>
      <c r="Z14" s="24">
        <f t="shared" si="12"/>
        <v>33.2102537984891</v>
      </c>
      <c r="AA14" s="24">
        <f t="shared" si="4"/>
        <v>5.0648225701379515</v>
      </c>
      <c r="AB14" s="24">
        <f t="shared" si="5"/>
        <v>31.30981225176188</v>
      </c>
      <c r="AC14" s="24">
        <f t="shared" si="6"/>
        <v>4.604384154670865</v>
      </c>
      <c r="AD14" s="24">
        <f t="shared" si="7"/>
        <v>7.0600557038286595</v>
      </c>
      <c r="AE14" s="24">
        <f t="shared" si="13"/>
        <v>48.03907468039936</v>
      </c>
    </row>
    <row r="15" spans="1:31" s="3" customFormat="1" ht="12.75">
      <c r="A15" s="3">
        <v>2</v>
      </c>
      <c r="B15" s="3" t="s">
        <v>9</v>
      </c>
      <c r="C15" s="3">
        <v>1</v>
      </c>
      <c r="D15" s="3">
        <v>13</v>
      </c>
      <c r="E15" s="3">
        <v>140</v>
      </c>
      <c r="F15" s="3">
        <v>27</v>
      </c>
      <c r="G15" s="3">
        <v>57</v>
      </c>
      <c r="H15" s="4" t="s">
        <v>133</v>
      </c>
      <c r="I15" s="9">
        <v>8.2043</v>
      </c>
      <c r="J15" s="9">
        <v>9.5575</v>
      </c>
      <c r="K15" s="9">
        <v>8.4944</v>
      </c>
      <c r="L15" s="10">
        <f t="shared" si="8"/>
        <v>78.56192728347614</v>
      </c>
      <c r="M15" s="10">
        <f>AVERAGE(L15:L17)</f>
        <v>72.85134983189857</v>
      </c>
      <c r="O15" s="3">
        <v>6.04</v>
      </c>
      <c r="P15" s="3">
        <f t="shared" si="9"/>
        <v>7.393199999999999</v>
      </c>
      <c r="Q15" s="21">
        <f t="shared" si="10"/>
        <v>6624.20382165605</v>
      </c>
      <c r="R15" s="21">
        <f t="shared" si="10"/>
        <v>71337.57961783439</v>
      </c>
      <c r="S15" s="21">
        <f t="shared" si="10"/>
        <v>13757.961783439488</v>
      </c>
      <c r="T15" s="21">
        <f t="shared" si="10"/>
        <v>29044.585987261144</v>
      </c>
      <c r="U15" s="21">
        <f t="shared" si="11"/>
        <v>120764.33121019107</v>
      </c>
      <c r="V15" s="24">
        <f t="shared" si="0"/>
        <v>1.7583725585673322</v>
      </c>
      <c r="W15" s="24">
        <f t="shared" si="1"/>
        <v>18.936319861494347</v>
      </c>
      <c r="X15" s="24">
        <f t="shared" si="2"/>
        <v>3.652004544716767</v>
      </c>
      <c r="Y15" s="24">
        <f t="shared" si="3"/>
        <v>7.709787372179842</v>
      </c>
      <c r="Z15" s="24">
        <f t="shared" si="12"/>
        <v>32.056484336958285</v>
      </c>
      <c r="AA15" s="24">
        <f t="shared" si="4"/>
        <v>2.23819936624336</v>
      </c>
      <c r="AB15" s="24">
        <f t="shared" si="5"/>
        <v>24.1036854826208</v>
      </c>
      <c r="AC15" s="24">
        <f t="shared" si="6"/>
        <v>4.64856791450544</v>
      </c>
      <c r="AD15" s="24">
        <f t="shared" si="7"/>
        <v>9.813643375067041</v>
      </c>
      <c r="AE15" s="24">
        <f t="shared" si="13"/>
        <v>40.80409613843665</v>
      </c>
    </row>
    <row r="16" spans="1:31" ht="12.75">
      <c r="A16" s="1">
        <v>2</v>
      </c>
      <c r="B16" s="1" t="s">
        <v>9</v>
      </c>
      <c r="C16" s="1">
        <v>2</v>
      </c>
      <c r="D16" s="1">
        <v>33</v>
      </c>
      <c r="E16" s="1">
        <v>112</v>
      </c>
      <c r="F16" s="1">
        <v>13</v>
      </c>
      <c r="G16" s="1">
        <v>105</v>
      </c>
      <c r="H16" s="2" t="s">
        <v>17</v>
      </c>
      <c r="I16" s="9">
        <v>8.7618</v>
      </c>
      <c r="J16" s="9">
        <v>10.1914</v>
      </c>
      <c r="K16" s="9">
        <v>9.138</v>
      </c>
      <c r="L16" s="10">
        <f t="shared" si="8"/>
        <v>73.6849468382764</v>
      </c>
      <c r="M16" s="10"/>
      <c r="O16" s="1">
        <v>9.11</v>
      </c>
      <c r="P16" s="3">
        <f t="shared" si="9"/>
        <v>10.5396</v>
      </c>
      <c r="Q16" s="21">
        <f t="shared" si="10"/>
        <v>16815.286624203818</v>
      </c>
      <c r="R16" s="21">
        <f t="shared" si="10"/>
        <v>57070.063694267505</v>
      </c>
      <c r="S16" s="21">
        <f t="shared" si="10"/>
        <v>6624.20382165605</v>
      </c>
      <c r="T16" s="21">
        <f t="shared" si="10"/>
        <v>53503.18471337579</v>
      </c>
      <c r="U16" s="21">
        <f t="shared" si="11"/>
        <v>134012.73885350316</v>
      </c>
      <c r="V16" s="24">
        <f t="shared" si="0"/>
        <v>3.131048616645793</v>
      </c>
      <c r="W16" s="24">
        <f t="shared" si="1"/>
        <v>10.6265892443736</v>
      </c>
      <c r="X16" s="24">
        <f t="shared" si="2"/>
        <v>1.2334433944362215</v>
      </c>
      <c r="Y16" s="24">
        <f t="shared" si="3"/>
        <v>9.962427416600251</v>
      </c>
      <c r="Z16" s="24">
        <f t="shared" si="12"/>
        <v>24.953508672055868</v>
      </c>
      <c r="AA16" s="24">
        <f t="shared" si="4"/>
        <v>4.249237803642328</v>
      </c>
      <c r="AB16" s="24">
        <f t="shared" si="5"/>
        <v>14.421655575998203</v>
      </c>
      <c r="AC16" s="24">
        <f t="shared" si="6"/>
        <v>1.67394216507122</v>
      </c>
      <c r="AD16" s="24">
        <f t="shared" si="7"/>
        <v>13.520302102498315</v>
      </c>
      <c r="AE16" s="24">
        <f t="shared" si="13"/>
        <v>33.86513764721007</v>
      </c>
    </row>
    <row r="17" spans="1:31" ht="12.75">
      <c r="A17" s="1">
        <v>2</v>
      </c>
      <c r="B17" s="1" t="s">
        <v>9</v>
      </c>
      <c r="C17" s="1">
        <v>3</v>
      </c>
      <c r="D17" s="1">
        <v>46</v>
      </c>
      <c r="E17" s="1">
        <v>194</v>
      </c>
      <c r="F17" s="1">
        <v>41</v>
      </c>
      <c r="G17" s="1">
        <v>102</v>
      </c>
      <c r="H17" s="2" t="s">
        <v>18</v>
      </c>
      <c r="I17" s="9">
        <v>9.2819</v>
      </c>
      <c r="J17" s="9">
        <v>11.1271</v>
      </c>
      <c r="K17" s="9">
        <v>9.9036</v>
      </c>
      <c r="L17" s="10">
        <f t="shared" si="8"/>
        <v>66.30717537394318</v>
      </c>
      <c r="M17" s="10"/>
      <c r="O17" s="1">
        <v>5.52</v>
      </c>
      <c r="P17" s="3">
        <f t="shared" si="9"/>
        <v>7.3652</v>
      </c>
      <c r="Q17" s="21">
        <f t="shared" si="10"/>
        <v>23439.49044585987</v>
      </c>
      <c r="R17" s="21">
        <f t="shared" si="10"/>
        <v>98853.50318471337</v>
      </c>
      <c r="S17" s="21">
        <f t="shared" si="10"/>
        <v>20891.719745222927</v>
      </c>
      <c r="T17" s="21">
        <f t="shared" si="10"/>
        <v>51974.52229299362</v>
      </c>
      <c r="U17" s="21">
        <f t="shared" si="11"/>
        <v>195159.23566878977</v>
      </c>
      <c r="V17" s="24">
        <f t="shared" si="0"/>
        <v>6.245587356758812</v>
      </c>
      <c r="W17" s="24">
        <f t="shared" si="1"/>
        <v>26.34008580893934</v>
      </c>
      <c r="X17" s="24">
        <f t="shared" si="2"/>
        <v>5.566719165806767</v>
      </c>
      <c r="Y17" s="24">
        <f t="shared" si="3"/>
        <v>13.848911095421714</v>
      </c>
      <c r="Z17" s="24">
        <f t="shared" si="12"/>
        <v>52.00130342692663</v>
      </c>
      <c r="AA17" s="24">
        <f t="shared" si="4"/>
        <v>9.419172693658654</v>
      </c>
      <c r="AB17" s="24">
        <f t="shared" si="5"/>
        <v>39.7243370123865</v>
      </c>
      <c r="AC17" s="24">
        <f t="shared" si="6"/>
        <v>8.395349574782713</v>
      </c>
      <c r="AD17" s="24">
        <f t="shared" si="7"/>
        <v>20.885991625069188</v>
      </c>
      <c r="AE17" s="24">
        <f t="shared" si="13"/>
        <v>78.42485090589705</v>
      </c>
    </row>
    <row r="18" spans="1:31" s="3" customFormat="1" ht="12.75">
      <c r="A18" s="3">
        <v>2</v>
      </c>
      <c r="B18" s="3" t="s">
        <v>10</v>
      </c>
      <c r="C18" s="3">
        <v>1</v>
      </c>
      <c r="D18" s="3">
        <v>47</v>
      </c>
      <c r="E18" s="3">
        <v>220</v>
      </c>
      <c r="F18" s="3">
        <v>55</v>
      </c>
      <c r="G18" s="3">
        <v>110</v>
      </c>
      <c r="H18" s="4" t="s">
        <v>134</v>
      </c>
      <c r="I18" s="9">
        <v>7.5988</v>
      </c>
      <c r="J18" s="9">
        <v>9.0637</v>
      </c>
      <c r="K18" s="9">
        <v>7.953</v>
      </c>
      <c r="L18" s="10">
        <f t="shared" si="8"/>
        <v>75.82087514506108</v>
      </c>
      <c r="M18" s="10">
        <f>AVERAGE(L18:L20)</f>
        <v>74.79533187393302</v>
      </c>
      <c r="O18" s="3">
        <v>5.07</v>
      </c>
      <c r="P18" s="3">
        <f t="shared" si="9"/>
        <v>6.534900000000001</v>
      </c>
      <c r="Q18" s="21">
        <f t="shared" si="10"/>
        <v>23949.044585987256</v>
      </c>
      <c r="R18" s="21">
        <f t="shared" si="10"/>
        <v>112101.91082802546</v>
      </c>
      <c r="S18" s="21">
        <f t="shared" si="10"/>
        <v>28025.477707006365</v>
      </c>
      <c r="T18" s="21">
        <f t="shared" si="10"/>
        <v>56050.95541401273</v>
      </c>
      <c r="U18" s="21">
        <f t="shared" si="11"/>
        <v>220127.38853503182</v>
      </c>
      <c r="V18" s="24">
        <f t="shared" si="0"/>
        <v>7.192152902110207</v>
      </c>
      <c r="W18" s="24">
        <f t="shared" si="1"/>
        <v>33.66539656306905</v>
      </c>
      <c r="X18" s="24">
        <f t="shared" si="2"/>
        <v>8.416349140767263</v>
      </c>
      <c r="Y18" s="24">
        <f t="shared" si="3"/>
        <v>16.832698281534526</v>
      </c>
      <c r="Z18" s="24">
        <f t="shared" si="12"/>
        <v>66.10659688748106</v>
      </c>
      <c r="AA18" s="24">
        <f t="shared" si="4"/>
        <v>9.485716022599481</v>
      </c>
      <c r="AB18" s="24">
        <f t="shared" si="5"/>
        <v>44.401223935572034</v>
      </c>
      <c r="AC18" s="24">
        <f t="shared" si="6"/>
        <v>11.100305983893008</v>
      </c>
      <c r="AD18" s="24">
        <f t="shared" si="7"/>
        <v>22.200611967786017</v>
      </c>
      <c r="AE18" s="24">
        <f t="shared" si="13"/>
        <v>87.18785790985055</v>
      </c>
    </row>
    <row r="19" spans="1:31" ht="12.75">
      <c r="A19" s="1">
        <v>2</v>
      </c>
      <c r="B19" s="1" t="s">
        <v>10</v>
      </c>
      <c r="C19" s="1">
        <v>2</v>
      </c>
      <c r="D19" s="1">
        <v>60</v>
      </c>
      <c r="E19" s="1">
        <v>224</v>
      </c>
      <c r="F19" s="1">
        <v>70</v>
      </c>
      <c r="G19" s="1">
        <v>134</v>
      </c>
      <c r="H19" s="2" t="s">
        <v>42</v>
      </c>
      <c r="I19" s="9">
        <v>7.8794</v>
      </c>
      <c r="J19" s="9">
        <v>10.2475</v>
      </c>
      <c r="K19" s="9">
        <v>8.8635</v>
      </c>
      <c r="L19" s="10">
        <f t="shared" si="8"/>
        <v>58.44347789367004</v>
      </c>
      <c r="M19" s="10"/>
      <c r="O19" s="1">
        <v>7.33</v>
      </c>
      <c r="P19" s="3">
        <f t="shared" si="9"/>
        <v>9.6981</v>
      </c>
      <c r="Q19" s="21">
        <f t="shared" si="10"/>
        <v>30573.248407643307</v>
      </c>
      <c r="R19" s="21">
        <f t="shared" si="10"/>
        <v>114140.12738853501</v>
      </c>
      <c r="S19" s="21">
        <f t="shared" si="10"/>
        <v>35668.789808917194</v>
      </c>
      <c r="T19" s="21">
        <f t="shared" si="10"/>
        <v>68280.25477707005</v>
      </c>
      <c r="U19" s="21">
        <f t="shared" si="11"/>
        <v>248662.42038216555</v>
      </c>
      <c r="V19" s="24">
        <f t="shared" si="0"/>
        <v>6.186778853589878</v>
      </c>
      <c r="W19" s="24">
        <f t="shared" si="1"/>
        <v>23.09730772006888</v>
      </c>
      <c r="X19" s="24">
        <f t="shared" si="2"/>
        <v>7.217908662521524</v>
      </c>
      <c r="Y19" s="24">
        <f t="shared" si="3"/>
        <v>13.81713943968406</v>
      </c>
      <c r="Z19" s="24">
        <f t="shared" si="12"/>
        <v>50.31913467586435</v>
      </c>
      <c r="AA19" s="24">
        <f t="shared" si="4"/>
        <v>10.585918354903317</v>
      </c>
      <c r="AB19" s="24">
        <f t="shared" si="5"/>
        <v>39.52076185830571</v>
      </c>
      <c r="AC19" s="24">
        <f t="shared" si="6"/>
        <v>12.350238080720535</v>
      </c>
      <c r="AD19" s="24">
        <f t="shared" si="7"/>
        <v>23.64188432595074</v>
      </c>
      <c r="AE19" s="24">
        <f t="shared" si="13"/>
        <v>86.0988026198803</v>
      </c>
    </row>
    <row r="20" spans="1:31" ht="12.75">
      <c r="A20" s="1">
        <v>2</v>
      </c>
      <c r="B20" s="1" t="s">
        <v>10</v>
      </c>
      <c r="C20" s="1">
        <v>3</v>
      </c>
      <c r="D20" s="1">
        <v>66</v>
      </c>
      <c r="E20" s="1">
        <v>273</v>
      </c>
      <c r="F20" s="1">
        <v>57</v>
      </c>
      <c r="G20" s="1">
        <v>80</v>
      </c>
      <c r="H20" s="2" t="s">
        <v>43</v>
      </c>
      <c r="I20" s="9">
        <v>7.4373</v>
      </c>
      <c r="J20" s="9">
        <v>8.6622</v>
      </c>
      <c r="K20" s="9">
        <v>7.5583</v>
      </c>
      <c r="L20" s="10">
        <f t="shared" si="8"/>
        <v>90.12164258306797</v>
      </c>
      <c r="M20" s="10"/>
      <c r="O20" s="1">
        <v>2.8</v>
      </c>
      <c r="P20" s="3">
        <f t="shared" si="9"/>
        <v>4.024900000000001</v>
      </c>
      <c r="Q20" s="21">
        <f t="shared" si="10"/>
        <v>33630.573248407636</v>
      </c>
      <c r="R20" s="21">
        <f t="shared" si="10"/>
        <v>139108.28025477706</v>
      </c>
      <c r="S20" s="21">
        <f t="shared" si="10"/>
        <v>29044.585987261144</v>
      </c>
      <c r="T20" s="21">
        <f t="shared" si="10"/>
        <v>40764.33121019108</v>
      </c>
      <c r="U20" s="21">
        <f t="shared" si="11"/>
        <v>242547.7707006369</v>
      </c>
      <c r="V20" s="24">
        <f t="shared" si="0"/>
        <v>16.397922929762228</v>
      </c>
      <c r="W20" s="24">
        <f t="shared" si="1"/>
        <v>67.82777211856194</v>
      </c>
      <c r="X20" s="24">
        <f t="shared" si="2"/>
        <v>14.161842530249197</v>
      </c>
      <c r="Y20" s="24">
        <f t="shared" si="3"/>
        <v>19.87627021789361</v>
      </c>
      <c r="Z20" s="24">
        <f t="shared" si="12"/>
        <v>118.26380779646698</v>
      </c>
      <c r="AA20" s="24">
        <f t="shared" si="4"/>
        <v>18.19532185584361</v>
      </c>
      <c r="AB20" s="24">
        <f t="shared" si="5"/>
        <v>75.26246767644403</v>
      </c>
      <c r="AC20" s="24">
        <f t="shared" si="6"/>
        <v>15.714141602774028</v>
      </c>
      <c r="AD20" s="24">
        <f t="shared" si="7"/>
        <v>22.05493558284074</v>
      </c>
      <c r="AE20" s="24">
        <f t="shared" si="13"/>
        <v>131.2268667179024</v>
      </c>
    </row>
    <row r="21" spans="1:31" s="3" customFormat="1" ht="12.75">
      <c r="A21" s="3">
        <v>2</v>
      </c>
      <c r="B21" s="3" t="s">
        <v>11</v>
      </c>
      <c r="C21" s="3">
        <v>1</v>
      </c>
      <c r="D21" s="3">
        <v>79</v>
      </c>
      <c r="E21" s="3">
        <v>94</v>
      </c>
      <c r="F21" s="3">
        <v>22</v>
      </c>
      <c r="G21" s="3">
        <v>189</v>
      </c>
      <c r="H21" s="4" t="s">
        <v>135</v>
      </c>
      <c r="I21" s="9">
        <v>8.2326</v>
      </c>
      <c r="J21" s="9">
        <v>9.6934</v>
      </c>
      <c r="K21" s="9">
        <v>8.5571</v>
      </c>
      <c r="L21" s="10">
        <f t="shared" si="8"/>
        <v>77.78614457831323</v>
      </c>
      <c r="M21" s="10">
        <f>AVERAGE(L21:L23)</f>
        <v>70.34753033389944</v>
      </c>
      <c r="O21" s="3">
        <v>5.85</v>
      </c>
      <c r="P21" s="3">
        <f t="shared" si="9"/>
        <v>7.3108</v>
      </c>
      <c r="Q21" s="21">
        <f t="shared" si="10"/>
        <v>40254.77707006369</v>
      </c>
      <c r="R21" s="21">
        <f t="shared" si="10"/>
        <v>47898.08917197451</v>
      </c>
      <c r="S21" s="21">
        <f t="shared" si="10"/>
        <v>11210.191082802547</v>
      </c>
      <c r="T21" s="21">
        <f t="shared" si="10"/>
        <v>96305.73248407642</v>
      </c>
      <c r="U21" s="21">
        <f t="shared" si="11"/>
        <v>195668.78980891715</v>
      </c>
      <c r="V21" s="24">
        <f t="shared" si="0"/>
        <v>10.805930951469058</v>
      </c>
      <c r="W21" s="24">
        <f t="shared" si="1"/>
        <v>12.857689992887234</v>
      </c>
      <c r="X21" s="24">
        <f t="shared" si="2"/>
        <v>3.009246594079991</v>
      </c>
      <c r="Y21" s="24">
        <f t="shared" si="3"/>
        <v>25.852163921869014</v>
      </c>
      <c r="Z21" s="24">
        <f t="shared" si="12"/>
        <v>52.5250314603053</v>
      </c>
      <c r="AA21" s="24">
        <f t="shared" si="4"/>
        <v>13.891845405179975</v>
      </c>
      <c r="AB21" s="24">
        <f t="shared" si="5"/>
        <v>16.529537570720475</v>
      </c>
      <c r="AC21" s="24">
        <f t="shared" si="6"/>
        <v>3.868615176126069</v>
      </c>
      <c r="AD21" s="24">
        <f t="shared" si="7"/>
        <v>33.23492128581032</v>
      </c>
      <c r="AE21" s="24">
        <f t="shared" si="13"/>
        <v>67.52491943783684</v>
      </c>
    </row>
    <row r="22" spans="1:31" ht="12.75">
      <c r="A22" s="1">
        <v>2</v>
      </c>
      <c r="B22" s="1" t="s">
        <v>11</v>
      </c>
      <c r="C22" s="1">
        <v>2</v>
      </c>
      <c r="D22" s="1">
        <v>40</v>
      </c>
      <c r="E22" s="1">
        <v>170</v>
      </c>
      <c r="F22" s="1">
        <v>46</v>
      </c>
      <c r="G22" s="1">
        <v>68</v>
      </c>
      <c r="H22" s="2" t="s">
        <v>44</v>
      </c>
      <c r="I22" s="9">
        <v>6.6348</v>
      </c>
      <c r="J22" s="9">
        <v>8.4151</v>
      </c>
      <c r="K22" s="9">
        <v>7.358</v>
      </c>
      <c r="L22" s="10">
        <f t="shared" si="8"/>
        <v>59.377632983205125</v>
      </c>
      <c r="M22" s="10"/>
      <c r="O22" s="1">
        <v>8.84</v>
      </c>
      <c r="P22" s="3">
        <f t="shared" si="9"/>
        <v>10.6203</v>
      </c>
      <c r="Q22" s="21">
        <f t="shared" si="10"/>
        <v>20382.16560509554</v>
      </c>
      <c r="R22" s="21">
        <f t="shared" si="10"/>
        <v>86624.20382165603</v>
      </c>
      <c r="S22" s="21">
        <f t="shared" si="10"/>
        <v>23439.49044585987</v>
      </c>
      <c r="T22" s="21">
        <f t="shared" si="10"/>
        <v>34649.68152866242</v>
      </c>
      <c r="U22" s="21">
        <f t="shared" si="11"/>
        <v>165095.54140127386</v>
      </c>
      <c r="V22" s="24">
        <f t="shared" si="0"/>
        <v>3.766371948061731</v>
      </c>
      <c r="W22" s="24">
        <f t="shared" si="1"/>
        <v>16.007080779262356</v>
      </c>
      <c r="X22" s="24">
        <f t="shared" si="2"/>
        <v>4.33132774027099</v>
      </c>
      <c r="Y22" s="24">
        <f t="shared" si="3"/>
        <v>6.402832311704942</v>
      </c>
      <c r="Z22" s="24">
        <f t="shared" si="12"/>
        <v>30.50761277930002</v>
      </c>
      <c r="AA22" s="24">
        <f t="shared" si="4"/>
        <v>6.34308199709989</v>
      </c>
      <c r="AB22" s="24">
        <f t="shared" si="5"/>
        <v>26.958098487674533</v>
      </c>
      <c r="AC22" s="24">
        <f t="shared" si="6"/>
        <v>7.294544296664874</v>
      </c>
      <c r="AD22" s="24">
        <f t="shared" si="7"/>
        <v>10.783239395069813</v>
      </c>
      <c r="AE22" s="24">
        <f t="shared" si="13"/>
        <v>51.37896417650911</v>
      </c>
    </row>
    <row r="23" spans="1:31" ht="12.75">
      <c r="A23" s="1">
        <v>2</v>
      </c>
      <c r="B23" s="1" t="s">
        <v>11</v>
      </c>
      <c r="C23" s="1">
        <v>3</v>
      </c>
      <c r="D23" s="1">
        <v>36</v>
      </c>
      <c r="E23" s="1">
        <v>156</v>
      </c>
      <c r="F23" s="1">
        <v>20</v>
      </c>
      <c r="G23" s="1">
        <v>190</v>
      </c>
      <c r="H23" s="2" t="s">
        <v>19</v>
      </c>
      <c r="I23" s="9">
        <v>7.1377</v>
      </c>
      <c r="J23" s="9">
        <v>8.5603</v>
      </c>
      <c r="K23" s="9">
        <v>7.5093</v>
      </c>
      <c r="L23" s="10">
        <f t="shared" si="8"/>
        <v>73.87881344017997</v>
      </c>
      <c r="M23" s="10"/>
      <c r="O23" s="1">
        <v>5.81</v>
      </c>
      <c r="P23" s="3">
        <f t="shared" si="9"/>
        <v>7.2326</v>
      </c>
      <c r="Q23" s="21">
        <f t="shared" si="10"/>
        <v>18343.949044585985</v>
      </c>
      <c r="R23" s="21">
        <f t="shared" si="10"/>
        <v>79490.4458598726</v>
      </c>
      <c r="S23" s="21">
        <f t="shared" si="10"/>
        <v>10191.08280254777</v>
      </c>
      <c r="T23" s="21">
        <f t="shared" si="10"/>
        <v>96815.28662420381</v>
      </c>
      <c r="U23" s="21">
        <f t="shared" si="11"/>
        <v>204840.76433121017</v>
      </c>
      <c r="V23" s="24">
        <f t="shared" si="0"/>
        <v>4.977463152946382</v>
      </c>
      <c r="W23" s="24">
        <f t="shared" si="1"/>
        <v>21.56900699610099</v>
      </c>
      <c r="X23" s="24">
        <f t="shared" si="2"/>
        <v>2.7652573071924342</v>
      </c>
      <c r="Y23" s="24">
        <f t="shared" si="3"/>
        <v>26.269944418328127</v>
      </c>
      <c r="Z23" s="24">
        <f t="shared" si="12"/>
        <v>55.58167187456793</v>
      </c>
      <c r="AA23" s="24">
        <f t="shared" si="4"/>
        <v>6.7373349965571085</v>
      </c>
      <c r="AB23" s="24">
        <f t="shared" si="5"/>
        <v>29.19511831841414</v>
      </c>
      <c r="AC23" s="24">
        <f t="shared" si="6"/>
        <v>3.7429638869761717</v>
      </c>
      <c r="AD23" s="24">
        <f t="shared" si="7"/>
        <v>35.55815692627363</v>
      </c>
      <c r="AE23" s="24">
        <f t="shared" si="13"/>
        <v>75.23357412822105</v>
      </c>
    </row>
    <row r="24" spans="1:31" s="3" customFormat="1" ht="12.75">
      <c r="A24" s="3">
        <v>2</v>
      </c>
      <c r="B24" s="3" t="s">
        <v>12</v>
      </c>
      <c r="C24" s="3">
        <v>1</v>
      </c>
      <c r="D24" s="3">
        <v>13</v>
      </c>
      <c r="E24" s="3">
        <v>171</v>
      </c>
      <c r="F24" s="3">
        <v>23</v>
      </c>
      <c r="G24" s="3">
        <v>86</v>
      </c>
      <c r="H24" s="4" t="s">
        <v>136</v>
      </c>
      <c r="I24" s="9">
        <v>8.5079</v>
      </c>
      <c r="J24" s="9">
        <v>10.4072</v>
      </c>
      <c r="K24" s="9">
        <v>9.3008</v>
      </c>
      <c r="L24" s="10">
        <f t="shared" si="8"/>
        <v>58.25304059390296</v>
      </c>
      <c r="M24" s="10">
        <f>AVERAGE(L24:L26)</f>
        <v>56.88015105193609</v>
      </c>
      <c r="O24" s="3">
        <v>7.13</v>
      </c>
      <c r="P24" s="3">
        <f t="shared" si="9"/>
        <v>9.0293</v>
      </c>
      <c r="Q24" s="21">
        <f t="shared" si="10"/>
        <v>6624.20382165605</v>
      </c>
      <c r="R24" s="21">
        <f t="shared" si="10"/>
        <v>87133.75796178343</v>
      </c>
      <c r="S24" s="21">
        <f t="shared" si="10"/>
        <v>11719.745222929934</v>
      </c>
      <c r="T24" s="21">
        <f t="shared" si="10"/>
        <v>43821.65605095541</v>
      </c>
      <c r="U24" s="21">
        <f t="shared" si="11"/>
        <v>149299.36305732484</v>
      </c>
      <c r="V24" s="24">
        <f t="shared" si="0"/>
        <v>1.4397572347801049</v>
      </c>
      <c r="W24" s="24">
        <f t="shared" si="1"/>
        <v>18.938345165184458</v>
      </c>
      <c r="X24" s="24">
        <f t="shared" si="2"/>
        <v>2.54726279999557</v>
      </c>
      <c r="Y24" s="24">
        <f t="shared" si="3"/>
        <v>9.524547860853001</v>
      </c>
      <c r="Z24" s="24">
        <f t="shared" si="12"/>
        <v>32.44991306081313</v>
      </c>
      <c r="AA24" s="24">
        <f t="shared" si="4"/>
        <v>2.4715572270587995</v>
      </c>
      <c r="AB24" s="24">
        <f t="shared" si="5"/>
        <v>32.51048352515805</v>
      </c>
      <c r="AC24" s="24">
        <f t="shared" si="6"/>
        <v>4.372755094027107</v>
      </c>
      <c r="AD24" s="24">
        <f t="shared" si="7"/>
        <v>16.350301655927442</v>
      </c>
      <c r="AE24" s="24">
        <f t="shared" si="13"/>
        <v>55.7050975021714</v>
      </c>
    </row>
    <row r="25" spans="1:31" ht="12.75">
      <c r="A25" s="1">
        <v>2</v>
      </c>
      <c r="B25" s="1" t="s">
        <v>12</v>
      </c>
      <c r="C25" s="1">
        <v>2</v>
      </c>
      <c r="D25" s="1">
        <v>12</v>
      </c>
      <c r="E25" s="1">
        <v>146</v>
      </c>
      <c r="F25" s="1">
        <v>13</v>
      </c>
      <c r="G25" s="1">
        <v>82</v>
      </c>
      <c r="H25" s="8" t="s">
        <v>149</v>
      </c>
      <c r="I25" s="9">
        <v>6.7706</v>
      </c>
      <c r="J25" s="9">
        <v>8.9922</v>
      </c>
      <c r="K25" s="9">
        <v>7.7499</v>
      </c>
      <c r="L25" s="10">
        <f t="shared" si="8"/>
        <v>55.91915736406193</v>
      </c>
      <c r="M25" s="10"/>
      <c r="O25" s="1">
        <v>6.08</v>
      </c>
      <c r="P25" s="3">
        <f t="shared" si="9"/>
        <v>8.3016</v>
      </c>
      <c r="Q25" s="21">
        <f t="shared" si="10"/>
        <v>6114.649681528662</v>
      </c>
      <c r="R25" s="21">
        <f t="shared" si="10"/>
        <v>74394.90445859871</v>
      </c>
      <c r="S25" s="21">
        <f t="shared" si="10"/>
        <v>6624.20382165605</v>
      </c>
      <c r="T25" s="21">
        <f t="shared" si="10"/>
        <v>41783.43949044585</v>
      </c>
      <c r="U25" s="21">
        <f t="shared" si="11"/>
        <v>128917.19745222927</v>
      </c>
      <c r="V25" s="24">
        <f t="shared" si="0"/>
        <v>1.4455044810638913</v>
      </c>
      <c r="W25" s="24">
        <f t="shared" si="1"/>
        <v>17.586971186277342</v>
      </c>
      <c r="X25" s="24">
        <f t="shared" si="2"/>
        <v>1.5659631878192155</v>
      </c>
      <c r="Y25" s="24">
        <f t="shared" si="3"/>
        <v>9.87761395393659</v>
      </c>
      <c r="Z25" s="24">
        <f t="shared" si="12"/>
        <v>30.47605280909704</v>
      </c>
      <c r="AA25" s="24">
        <f t="shared" si="4"/>
        <v>2.5849897409092337</v>
      </c>
      <c r="AB25" s="24">
        <f t="shared" si="5"/>
        <v>31.450708514395675</v>
      </c>
      <c r="AC25" s="24">
        <f t="shared" si="6"/>
        <v>2.80040555265167</v>
      </c>
      <c r="AD25" s="24">
        <f t="shared" si="7"/>
        <v>17.664096562879763</v>
      </c>
      <c r="AE25" s="24">
        <f t="shared" si="13"/>
        <v>54.50020037083634</v>
      </c>
    </row>
    <row r="26" spans="1:31" ht="12.75">
      <c r="A26" s="1">
        <v>2</v>
      </c>
      <c r="B26" s="1" t="s">
        <v>12</v>
      </c>
      <c r="C26" s="1">
        <v>3</v>
      </c>
      <c r="D26" s="1">
        <v>39</v>
      </c>
      <c r="E26" s="1">
        <v>163</v>
      </c>
      <c r="F26" s="1">
        <v>26</v>
      </c>
      <c r="G26" s="1">
        <v>48</v>
      </c>
      <c r="H26" s="2" t="s">
        <v>20</v>
      </c>
      <c r="I26" s="9">
        <v>9.7389</v>
      </c>
      <c r="J26" s="9">
        <v>12.9662</v>
      </c>
      <c r="K26" s="9">
        <v>11.1438</v>
      </c>
      <c r="L26" s="10">
        <f t="shared" si="8"/>
        <v>56.468255197843376</v>
      </c>
      <c r="M26" s="10"/>
      <c r="O26" s="1">
        <v>6.57</v>
      </c>
      <c r="P26" s="3">
        <f t="shared" si="9"/>
        <v>9.797300000000002</v>
      </c>
      <c r="Q26" s="21">
        <f t="shared" si="10"/>
        <v>19872.61146496815</v>
      </c>
      <c r="R26" s="21">
        <f t="shared" si="10"/>
        <v>83057.32484076433</v>
      </c>
      <c r="S26" s="21">
        <f t="shared" si="10"/>
        <v>13248.4076433121</v>
      </c>
      <c r="T26" s="21">
        <f t="shared" si="10"/>
        <v>24458.598726114647</v>
      </c>
      <c r="U26" s="21">
        <f t="shared" si="11"/>
        <v>140636.94267515923</v>
      </c>
      <c r="V26" s="24">
        <f t="shared" si="0"/>
        <v>3.980688557051432</v>
      </c>
      <c r="W26" s="24">
        <f t="shared" si="1"/>
        <v>16.63723678972778</v>
      </c>
      <c r="X26" s="24">
        <f t="shared" si="2"/>
        <v>2.6537923713676213</v>
      </c>
      <c r="Y26" s="24">
        <f t="shared" si="3"/>
        <v>4.89930899329407</v>
      </c>
      <c r="Z26" s="24">
        <f t="shared" si="12"/>
        <v>28.171026711440906</v>
      </c>
      <c r="AA26" s="24">
        <f t="shared" si="4"/>
        <v>7.049427227925862</v>
      </c>
      <c r="AB26" s="24">
        <f t="shared" si="5"/>
        <v>29.462990721843987</v>
      </c>
      <c r="AC26" s="24">
        <f t="shared" si="6"/>
        <v>4.699618151950575</v>
      </c>
      <c r="AD26" s="24">
        <f t="shared" si="7"/>
        <v>8.676218126677984</v>
      </c>
      <c r="AE26" s="24">
        <f t="shared" si="13"/>
        <v>49.88825422839841</v>
      </c>
    </row>
    <row r="27" spans="1:31" s="3" customFormat="1" ht="12.75">
      <c r="A27" s="3">
        <v>3</v>
      </c>
      <c r="B27" s="3" t="s">
        <v>9</v>
      </c>
      <c r="C27" s="3">
        <v>1</v>
      </c>
      <c r="D27" s="3">
        <v>46</v>
      </c>
      <c r="E27" s="3">
        <v>125</v>
      </c>
      <c r="F27" s="3">
        <v>22</v>
      </c>
      <c r="G27" s="3">
        <v>113</v>
      </c>
      <c r="H27" s="4" t="s">
        <v>137</v>
      </c>
      <c r="I27" s="9">
        <v>10.8727</v>
      </c>
      <c r="J27" s="9">
        <v>14.1191</v>
      </c>
      <c r="K27" s="9">
        <v>12.2983</v>
      </c>
      <c r="L27" s="10">
        <f t="shared" si="8"/>
        <v>56.086742237555455</v>
      </c>
      <c r="M27" s="10">
        <f>AVERAGE(L27:L29)</f>
        <v>61.69182369207312</v>
      </c>
      <c r="O27" s="3">
        <v>4.07</v>
      </c>
      <c r="P27" s="3">
        <f t="shared" si="9"/>
        <v>7.3164</v>
      </c>
      <c r="Q27" s="21">
        <f t="shared" si="10"/>
        <v>23439.49044585987</v>
      </c>
      <c r="R27" s="21">
        <f t="shared" si="10"/>
        <v>63694.26751592356</v>
      </c>
      <c r="S27" s="21">
        <f t="shared" si="10"/>
        <v>11210.191082802547</v>
      </c>
      <c r="T27" s="21">
        <f t="shared" si="10"/>
        <v>57579.6178343949</v>
      </c>
      <c r="U27" s="21">
        <f t="shared" si="11"/>
        <v>155923.56687898087</v>
      </c>
      <c r="V27" s="24">
        <f t="shared" si="0"/>
        <v>6.287245093215243</v>
      </c>
      <c r="W27" s="24">
        <f t="shared" si="1"/>
        <v>17.084905144606637</v>
      </c>
      <c r="X27" s="24">
        <f t="shared" si="2"/>
        <v>3.0069433054507684</v>
      </c>
      <c r="Y27" s="24">
        <f t="shared" si="3"/>
        <v>15.444754250724401</v>
      </c>
      <c r="Z27" s="24">
        <f t="shared" si="12"/>
        <v>41.82384779399705</v>
      </c>
      <c r="AA27" s="24">
        <f t="shared" si="4"/>
        <v>11.209859660925945</v>
      </c>
      <c r="AB27" s="24">
        <f t="shared" si="5"/>
        <v>30.461575165559633</v>
      </c>
      <c r="AC27" s="24">
        <f t="shared" si="6"/>
        <v>5.361237229138496</v>
      </c>
      <c r="AD27" s="24">
        <f t="shared" si="7"/>
        <v>27.53726394966591</v>
      </c>
      <c r="AE27" s="24">
        <f t="shared" si="13"/>
        <v>74.56993600528999</v>
      </c>
    </row>
    <row r="28" spans="1:31" ht="12.75">
      <c r="A28" s="1">
        <v>3</v>
      </c>
      <c r="B28" s="1" t="s">
        <v>9</v>
      </c>
      <c r="C28" s="1">
        <v>2</v>
      </c>
      <c r="D28" s="1">
        <v>30</v>
      </c>
      <c r="E28" s="1">
        <v>191</v>
      </c>
      <c r="F28" s="1">
        <v>41</v>
      </c>
      <c r="G28" s="1">
        <v>67</v>
      </c>
      <c r="H28" s="2" t="s">
        <v>21</v>
      </c>
      <c r="I28" s="9">
        <v>7.9041</v>
      </c>
      <c r="J28" s="9">
        <v>9.804</v>
      </c>
      <c r="K28" s="9">
        <v>8.6188</v>
      </c>
      <c r="L28" s="10">
        <f t="shared" si="8"/>
        <v>62.382230643718074</v>
      </c>
      <c r="M28" s="10"/>
      <c r="O28" s="1">
        <v>6.85</v>
      </c>
      <c r="P28" s="3">
        <f t="shared" si="9"/>
        <v>8.7499</v>
      </c>
      <c r="Q28" s="21">
        <f t="shared" si="10"/>
        <v>15286.624203821653</v>
      </c>
      <c r="R28" s="21">
        <f t="shared" si="10"/>
        <v>97324.8407643312</v>
      </c>
      <c r="S28" s="21">
        <f t="shared" si="10"/>
        <v>20891.719745222927</v>
      </c>
      <c r="T28" s="21">
        <f t="shared" si="10"/>
        <v>34140.127388535024</v>
      </c>
      <c r="U28" s="21">
        <f t="shared" si="11"/>
        <v>167643.31210191082</v>
      </c>
      <c r="V28" s="24">
        <f t="shared" si="0"/>
        <v>3.4286106126927165</v>
      </c>
      <c r="W28" s="24">
        <f t="shared" si="1"/>
        <v>21.828820900810296</v>
      </c>
      <c r="X28" s="24">
        <f t="shared" si="2"/>
        <v>4.685767837346712</v>
      </c>
      <c r="Y28" s="24">
        <f t="shared" si="3"/>
        <v>7.657230368347067</v>
      </c>
      <c r="Z28" s="24">
        <f t="shared" si="12"/>
        <v>37.60042971919679</v>
      </c>
      <c r="AA28" s="24">
        <f t="shared" si="4"/>
        <v>5.496133397785094</v>
      </c>
      <c r="AB28" s="24">
        <f t="shared" si="5"/>
        <v>34.992049299231766</v>
      </c>
      <c r="AC28" s="24">
        <f t="shared" si="6"/>
        <v>7.5113823103062956</v>
      </c>
      <c r="AD28" s="24">
        <f t="shared" si="7"/>
        <v>12.274697921720044</v>
      </c>
      <c r="AE28" s="24">
        <f t="shared" si="13"/>
        <v>60.2742629290432</v>
      </c>
    </row>
    <row r="29" spans="1:31" ht="12.75">
      <c r="A29" s="1">
        <v>3</v>
      </c>
      <c r="B29" s="1" t="s">
        <v>9</v>
      </c>
      <c r="C29" s="1">
        <v>3</v>
      </c>
      <c r="D29" s="1">
        <v>105</v>
      </c>
      <c r="E29" s="1">
        <v>206</v>
      </c>
      <c r="F29" s="1">
        <v>42</v>
      </c>
      <c r="G29" s="1">
        <v>87</v>
      </c>
      <c r="H29" s="2" t="s">
        <v>22</v>
      </c>
      <c r="I29" s="9">
        <v>7.9848</v>
      </c>
      <c r="J29" s="9">
        <v>9.5914</v>
      </c>
      <c r="K29" s="9">
        <v>8.5213</v>
      </c>
      <c r="L29" s="10">
        <f t="shared" si="8"/>
        <v>66.60649819494584</v>
      </c>
      <c r="M29" s="10"/>
      <c r="O29" s="1">
        <v>5.66</v>
      </c>
      <c r="P29" s="3">
        <f t="shared" si="9"/>
        <v>7.2666</v>
      </c>
      <c r="Q29" s="21">
        <f t="shared" si="10"/>
        <v>53503.18471337579</v>
      </c>
      <c r="R29" s="21">
        <f t="shared" si="10"/>
        <v>104968.15286624202</v>
      </c>
      <c r="S29" s="21">
        <f t="shared" si="10"/>
        <v>21401.273885350314</v>
      </c>
      <c r="T29" s="21">
        <f t="shared" si="10"/>
        <v>44331.2101910828</v>
      </c>
      <c r="U29" s="21">
        <f t="shared" si="11"/>
        <v>224203.82165605092</v>
      </c>
      <c r="V29" s="24">
        <f t="shared" si="0"/>
        <v>14.449673850218808</v>
      </c>
      <c r="W29" s="24">
        <f t="shared" si="1"/>
        <v>28.348883934714994</v>
      </c>
      <c r="X29" s="24">
        <f t="shared" si="2"/>
        <v>5.779869540087524</v>
      </c>
      <c r="Y29" s="24">
        <f t="shared" si="3"/>
        <v>11.972586904467013</v>
      </c>
      <c r="Z29" s="24">
        <f t="shared" si="12"/>
        <v>60.551014229488345</v>
      </c>
      <c r="AA29" s="24">
        <f t="shared" si="4"/>
        <v>21.6940902791903</v>
      </c>
      <c r="AB29" s="24">
        <f t="shared" si="5"/>
        <v>42.56173902393525</v>
      </c>
      <c r="AC29" s="24">
        <f t="shared" si="6"/>
        <v>8.67763611167612</v>
      </c>
      <c r="AD29" s="24">
        <f t="shared" si="7"/>
        <v>17.975103374186247</v>
      </c>
      <c r="AE29" s="24">
        <f t="shared" si="13"/>
        <v>90.90856878898792</v>
      </c>
    </row>
    <row r="30" spans="1:31" s="3" customFormat="1" ht="12.75">
      <c r="A30" s="3">
        <v>3</v>
      </c>
      <c r="B30" s="3" t="s">
        <v>10</v>
      </c>
      <c r="C30" s="3">
        <v>1</v>
      </c>
      <c r="D30" s="3">
        <v>119</v>
      </c>
      <c r="E30" s="3">
        <v>204</v>
      </c>
      <c r="F30" s="3">
        <v>41</v>
      </c>
      <c r="G30" s="3">
        <v>207</v>
      </c>
      <c r="H30" s="4" t="s">
        <v>138</v>
      </c>
      <c r="I30" s="9">
        <v>7.7308</v>
      </c>
      <c r="J30" s="9">
        <v>9.6317</v>
      </c>
      <c r="K30" s="9">
        <v>8.2474</v>
      </c>
      <c r="L30" s="10">
        <f t="shared" si="8"/>
        <v>72.82339944236938</v>
      </c>
      <c r="M30" s="10">
        <f>AVERAGE(L30:L32)</f>
        <v>56.781583106767755</v>
      </c>
      <c r="O30" s="3">
        <v>4.41</v>
      </c>
      <c r="P30" s="3">
        <f t="shared" si="9"/>
        <v>6.3109</v>
      </c>
      <c r="Q30" s="21">
        <f t="shared" si="10"/>
        <v>60636.942675159225</v>
      </c>
      <c r="R30" s="21">
        <f t="shared" si="10"/>
        <v>103949.04458598724</v>
      </c>
      <c r="S30" s="21">
        <f t="shared" si="10"/>
        <v>20891.719745222927</v>
      </c>
      <c r="T30" s="21">
        <f t="shared" si="10"/>
        <v>105477.70700636941</v>
      </c>
      <c r="U30" s="21">
        <f t="shared" si="11"/>
        <v>290955.4140127388</v>
      </c>
      <c r="V30" s="24">
        <f t="shared" si="0"/>
        <v>18.85626455814543</v>
      </c>
      <c r="W30" s="24">
        <f t="shared" si="1"/>
        <v>32.32502495682074</v>
      </c>
      <c r="X30" s="24">
        <f t="shared" si="2"/>
        <v>6.496696192302207</v>
      </c>
      <c r="Y30" s="24">
        <f t="shared" si="3"/>
        <v>32.80039297089163</v>
      </c>
      <c r="Z30" s="24">
        <f t="shared" si="12"/>
        <v>90.47837867816</v>
      </c>
      <c r="AA30" s="24">
        <f t="shared" si="4"/>
        <v>25.893139708573766</v>
      </c>
      <c r="AB30" s="24">
        <f t="shared" si="5"/>
        <v>44.38823950041217</v>
      </c>
      <c r="AC30" s="24">
        <f t="shared" si="6"/>
        <v>8.921165781945582</v>
      </c>
      <c r="AD30" s="24">
        <f t="shared" si="7"/>
        <v>45.04100772835941</v>
      </c>
      <c r="AE30" s="24">
        <f t="shared" si="13"/>
        <v>124.24355271929093</v>
      </c>
    </row>
    <row r="31" spans="1:31" ht="12.75">
      <c r="A31" s="1">
        <v>3</v>
      </c>
      <c r="B31" s="1" t="s">
        <v>10</v>
      </c>
      <c r="C31" s="1">
        <v>2</v>
      </c>
      <c r="D31" s="1">
        <v>132</v>
      </c>
      <c r="E31" s="1">
        <v>149</v>
      </c>
      <c r="F31" s="1">
        <v>36</v>
      </c>
      <c r="G31" s="1">
        <v>13</v>
      </c>
      <c r="H31" s="2" t="s">
        <v>23</v>
      </c>
      <c r="I31" s="9">
        <v>8.2426</v>
      </c>
      <c r="J31" s="9">
        <v>10.5007</v>
      </c>
      <c r="K31" s="9">
        <v>9.2279</v>
      </c>
      <c r="L31" s="10">
        <f t="shared" si="8"/>
        <v>56.36597139187812</v>
      </c>
      <c r="M31" s="10"/>
      <c r="O31" s="1">
        <v>6.07</v>
      </c>
      <c r="P31" s="3">
        <f t="shared" si="9"/>
        <v>8.328100000000001</v>
      </c>
      <c r="Q31" s="21">
        <f t="shared" si="10"/>
        <v>67261.14649681527</v>
      </c>
      <c r="R31" s="21">
        <f t="shared" si="10"/>
        <v>75923.56687898088</v>
      </c>
      <c r="S31" s="21">
        <f t="shared" si="10"/>
        <v>18343.949044585985</v>
      </c>
      <c r="T31" s="21">
        <f t="shared" si="10"/>
        <v>6624.20382165605</v>
      </c>
      <c r="U31" s="21">
        <f t="shared" si="11"/>
        <v>168152.8662420382</v>
      </c>
      <c r="V31" s="24">
        <f t="shared" si="0"/>
        <v>15.849953770968167</v>
      </c>
      <c r="W31" s="24">
        <f t="shared" si="1"/>
        <v>17.891235696017098</v>
      </c>
      <c r="X31" s="24">
        <f t="shared" si="2"/>
        <v>4.3227146648095</v>
      </c>
      <c r="Y31" s="24">
        <f t="shared" si="3"/>
        <v>1.5609802956256527</v>
      </c>
      <c r="Z31" s="24">
        <f t="shared" si="12"/>
        <v>39.62488442742042</v>
      </c>
      <c r="AA31" s="24">
        <f t="shared" si="4"/>
        <v>28.119720781130752</v>
      </c>
      <c r="AB31" s="24">
        <f t="shared" si="5"/>
        <v>31.741199972640015</v>
      </c>
      <c r="AC31" s="24">
        <f t="shared" si="6"/>
        <v>7.6690147584902055</v>
      </c>
      <c r="AD31" s="24">
        <f t="shared" si="7"/>
        <v>2.7693664405659075</v>
      </c>
      <c r="AE31" s="24">
        <f t="shared" si="13"/>
        <v>70.29930195282688</v>
      </c>
    </row>
    <row r="32" spans="1:31" ht="12.75">
      <c r="A32" s="1">
        <v>3</v>
      </c>
      <c r="B32" s="1" t="s">
        <v>10</v>
      </c>
      <c r="C32" s="1">
        <v>3</v>
      </c>
      <c r="D32" s="1">
        <v>167</v>
      </c>
      <c r="E32" s="1">
        <v>196</v>
      </c>
      <c r="F32" s="1">
        <v>52</v>
      </c>
      <c r="G32" s="1">
        <v>105</v>
      </c>
      <c r="H32" s="2" t="s">
        <v>24</v>
      </c>
      <c r="I32" s="9">
        <v>7.668</v>
      </c>
      <c r="J32" s="9">
        <v>10.429</v>
      </c>
      <c r="K32" s="9">
        <v>9.2927</v>
      </c>
      <c r="L32" s="10">
        <f t="shared" si="8"/>
        <v>41.15537848605578</v>
      </c>
      <c r="M32" s="10"/>
      <c r="O32" s="1">
        <v>6.85</v>
      </c>
      <c r="P32" s="3">
        <f t="shared" si="9"/>
        <v>9.611</v>
      </c>
      <c r="Q32" s="21">
        <f t="shared" si="10"/>
        <v>85095.54140127388</v>
      </c>
      <c r="R32" s="21">
        <f t="shared" si="10"/>
        <v>99872.61146496814</v>
      </c>
      <c r="S32" s="21">
        <f t="shared" si="10"/>
        <v>26496.8152866242</v>
      </c>
      <c r="T32" s="21">
        <f t="shared" si="10"/>
        <v>53503.18471337579</v>
      </c>
      <c r="U32" s="21">
        <f t="shared" si="11"/>
        <v>264968.15286624205</v>
      </c>
      <c r="V32" s="24">
        <f t="shared" si="0"/>
        <v>17.37592342108001</v>
      </c>
      <c r="W32" s="24">
        <f t="shared" si="1"/>
        <v>20.39329934450109</v>
      </c>
      <c r="X32" s="24">
        <f t="shared" si="2"/>
        <v>5.410467173030901</v>
      </c>
      <c r="Y32" s="24">
        <f t="shared" si="3"/>
        <v>10.924981791697013</v>
      </c>
      <c r="Z32" s="24">
        <f t="shared" si="12"/>
        <v>54.10467173030902</v>
      </c>
      <c r="AA32" s="24">
        <f t="shared" si="4"/>
        <v>42.22029795441512</v>
      </c>
      <c r="AB32" s="24">
        <f t="shared" si="5"/>
        <v>49.55196646146925</v>
      </c>
      <c r="AC32" s="24">
        <f t="shared" si="6"/>
        <v>13.14644008161429</v>
      </c>
      <c r="AD32" s="24">
        <f t="shared" si="7"/>
        <v>26.54569631864424</v>
      </c>
      <c r="AE32" s="24">
        <f t="shared" si="13"/>
        <v>131.4644008161429</v>
      </c>
    </row>
    <row r="33" spans="1:31" s="3" customFormat="1" ht="12.75">
      <c r="A33" s="3">
        <v>3</v>
      </c>
      <c r="B33" s="3" t="s">
        <v>11</v>
      </c>
      <c r="C33" s="3">
        <v>1</v>
      </c>
      <c r="D33" s="3">
        <v>70</v>
      </c>
      <c r="E33" s="3">
        <v>91</v>
      </c>
      <c r="F33" s="3">
        <v>25</v>
      </c>
      <c r="G33" s="3">
        <v>80</v>
      </c>
      <c r="H33" s="4" t="s">
        <v>139</v>
      </c>
      <c r="I33" s="9">
        <v>9.6163</v>
      </c>
      <c r="J33" s="9">
        <v>12.3635</v>
      </c>
      <c r="K33" s="9">
        <v>10.6285</v>
      </c>
      <c r="L33" s="10">
        <f t="shared" si="8"/>
        <v>63.15521258008153</v>
      </c>
      <c r="M33" s="10">
        <f>AVERAGE(L33:L35)</f>
        <v>53.65233329116253</v>
      </c>
      <c r="O33" s="3">
        <v>5.2</v>
      </c>
      <c r="P33" s="3">
        <f t="shared" si="9"/>
        <v>7.9472</v>
      </c>
      <c r="Q33" s="21">
        <f t="shared" si="10"/>
        <v>35668.789808917194</v>
      </c>
      <c r="R33" s="21">
        <f t="shared" si="10"/>
        <v>46369.42675159235</v>
      </c>
      <c r="S33" s="21">
        <f t="shared" si="10"/>
        <v>12738.853503184711</v>
      </c>
      <c r="T33" s="21">
        <f t="shared" si="10"/>
        <v>40764.33121019108</v>
      </c>
      <c r="U33" s="21">
        <f t="shared" si="11"/>
        <v>135541.40127388533</v>
      </c>
      <c r="V33" s="24">
        <f t="shared" si="0"/>
        <v>8.808133682303202</v>
      </c>
      <c r="W33" s="24">
        <f t="shared" si="1"/>
        <v>11.450573786994163</v>
      </c>
      <c r="X33" s="24">
        <f t="shared" si="2"/>
        <v>3.1457620293940005</v>
      </c>
      <c r="Y33" s="24">
        <f t="shared" si="3"/>
        <v>10.066438494060801</v>
      </c>
      <c r="Z33" s="24">
        <f t="shared" si="12"/>
        <v>33.47090799275216</v>
      </c>
      <c r="AA33" s="24">
        <f t="shared" si="4"/>
        <v>13.946803949293</v>
      </c>
      <c r="AB33" s="24">
        <f t="shared" si="5"/>
        <v>18.1308451340809</v>
      </c>
      <c r="AC33" s="24">
        <f t="shared" si="6"/>
        <v>4.9810014104617855</v>
      </c>
      <c r="AD33" s="24">
        <f t="shared" si="7"/>
        <v>15.939204513477716</v>
      </c>
      <c r="AE33" s="24">
        <f t="shared" si="13"/>
        <v>52.997855007313404</v>
      </c>
    </row>
    <row r="34" spans="1:31" ht="12.75">
      <c r="A34" s="1">
        <v>3</v>
      </c>
      <c r="B34" s="1" t="s">
        <v>11</v>
      </c>
      <c r="C34" s="1">
        <v>2</v>
      </c>
      <c r="D34" s="1">
        <v>14</v>
      </c>
      <c r="E34" s="1">
        <v>39</v>
      </c>
      <c r="F34" s="1">
        <v>10</v>
      </c>
      <c r="G34" s="1">
        <v>116</v>
      </c>
      <c r="H34" s="8" t="s">
        <v>149</v>
      </c>
      <c r="I34" s="9">
        <v>9.7573</v>
      </c>
      <c r="J34" s="9">
        <v>12.995</v>
      </c>
      <c r="K34" s="9">
        <v>11.6648</v>
      </c>
      <c r="L34" s="10">
        <f t="shared" si="8"/>
        <v>41.08472063501869</v>
      </c>
      <c r="M34" s="10"/>
      <c r="O34" s="1">
        <v>5.58</v>
      </c>
      <c r="P34" s="3">
        <f t="shared" si="9"/>
        <v>8.817699999999999</v>
      </c>
      <c r="Q34" s="21">
        <f t="shared" si="10"/>
        <v>7133.757961783438</v>
      </c>
      <c r="R34" s="21">
        <f t="shared" si="10"/>
        <v>19872.61146496815</v>
      </c>
      <c r="S34" s="21">
        <f t="shared" si="10"/>
        <v>5095.541401273885</v>
      </c>
      <c r="T34" s="21">
        <f t="shared" si="10"/>
        <v>59108.28025477706</v>
      </c>
      <c r="U34" s="21">
        <f t="shared" si="11"/>
        <v>91210.19108280254</v>
      </c>
      <c r="V34" s="24">
        <f t="shared" si="0"/>
        <v>1.587715617451263</v>
      </c>
      <c r="W34" s="24">
        <f t="shared" si="1"/>
        <v>4.422922077185661</v>
      </c>
      <c r="X34" s="24">
        <f t="shared" si="2"/>
        <v>1.1340825838937594</v>
      </c>
      <c r="Y34" s="24">
        <f t="shared" si="3"/>
        <v>13.15535797316761</v>
      </c>
      <c r="Z34" s="24">
        <f t="shared" si="12"/>
        <v>20.30007825169829</v>
      </c>
      <c r="AA34" s="24">
        <f t="shared" si="4"/>
        <v>3.86449169645313</v>
      </c>
      <c r="AB34" s="24">
        <f t="shared" si="5"/>
        <v>10.76536972583372</v>
      </c>
      <c r="AC34" s="24">
        <f t="shared" si="6"/>
        <v>2.7603512117522357</v>
      </c>
      <c r="AD34" s="24">
        <f t="shared" si="7"/>
        <v>32.02007405632593</v>
      </c>
      <c r="AE34" s="24">
        <f t="shared" si="13"/>
        <v>49.41028669036502</v>
      </c>
    </row>
    <row r="35" spans="1:31" ht="12.75">
      <c r="A35" s="1">
        <v>3</v>
      </c>
      <c r="B35" s="1" t="s">
        <v>11</v>
      </c>
      <c r="C35" s="1">
        <v>3</v>
      </c>
      <c r="D35" s="1">
        <v>104</v>
      </c>
      <c r="E35" s="1">
        <v>161</v>
      </c>
      <c r="F35" s="1">
        <v>48</v>
      </c>
      <c r="G35" s="1">
        <v>185</v>
      </c>
      <c r="H35" s="2" t="s">
        <v>45</v>
      </c>
      <c r="I35" s="9">
        <v>9.2656</v>
      </c>
      <c r="J35" s="9">
        <v>12.4865</v>
      </c>
      <c r="K35" s="9">
        <v>10.6597</v>
      </c>
      <c r="L35" s="10">
        <f t="shared" si="8"/>
        <v>56.71706665838736</v>
      </c>
      <c r="M35" s="10"/>
      <c r="O35" s="1">
        <v>6.9</v>
      </c>
      <c r="P35" s="3">
        <f t="shared" si="9"/>
        <v>10.1209</v>
      </c>
      <c r="Q35" s="21">
        <f t="shared" si="10"/>
        <v>52993.6305732484</v>
      </c>
      <c r="R35" s="21">
        <f t="shared" si="10"/>
        <v>82038.21656050954</v>
      </c>
      <c r="S35" s="21">
        <f t="shared" si="10"/>
        <v>24458.598726114647</v>
      </c>
      <c r="T35" s="21">
        <f t="shared" si="10"/>
        <v>94267.51592356687</v>
      </c>
      <c r="U35" s="21">
        <f t="shared" si="11"/>
        <v>253757.96178343944</v>
      </c>
      <c r="V35" s="24">
        <f t="shared" si="0"/>
        <v>10.275765989190685</v>
      </c>
      <c r="W35" s="24">
        <f t="shared" si="1"/>
        <v>15.907676194804809</v>
      </c>
      <c r="X35" s="24">
        <f t="shared" si="2"/>
        <v>4.742661225780315</v>
      </c>
      <c r="Y35" s="24">
        <f t="shared" si="3"/>
        <v>18.279006807694966</v>
      </c>
      <c r="Z35" s="24">
        <f t="shared" si="12"/>
        <v>49.205110217470775</v>
      </c>
      <c r="AA35" s="24">
        <f t="shared" si="4"/>
        <v>18.117590691145335</v>
      </c>
      <c r="AB35" s="24">
        <f t="shared" si="5"/>
        <v>28.047424050715374</v>
      </c>
      <c r="AC35" s="24">
        <f t="shared" si="6"/>
        <v>8.36196493437477</v>
      </c>
      <c r="AD35" s="24">
        <f t="shared" si="7"/>
        <v>32.22840651790276</v>
      </c>
      <c r="AE35" s="24">
        <f t="shared" si="13"/>
        <v>86.75538619413824</v>
      </c>
    </row>
    <row r="36" spans="1:31" s="3" customFormat="1" ht="12.75">
      <c r="A36" s="3">
        <v>3</v>
      </c>
      <c r="B36" s="3" t="s">
        <v>12</v>
      </c>
      <c r="C36" s="3">
        <v>1</v>
      </c>
      <c r="D36" s="3">
        <v>58</v>
      </c>
      <c r="E36" s="3">
        <v>183</v>
      </c>
      <c r="F36" s="3">
        <v>24</v>
      </c>
      <c r="G36" s="3">
        <v>160</v>
      </c>
      <c r="H36" s="4" t="s">
        <v>140</v>
      </c>
      <c r="I36" s="9">
        <v>7.8672</v>
      </c>
      <c r="J36" s="9">
        <v>10.3117</v>
      </c>
      <c r="K36" s="9">
        <v>8.6218</v>
      </c>
      <c r="L36" s="10">
        <f t="shared" si="8"/>
        <v>69.1307015749642</v>
      </c>
      <c r="M36" s="10">
        <f>AVERAGE(L36:L38)</f>
        <v>66.9535643510574</v>
      </c>
      <c r="O36" s="3">
        <v>7.93</v>
      </c>
      <c r="P36" s="3">
        <f t="shared" si="9"/>
        <v>10.3745</v>
      </c>
      <c r="Q36" s="21">
        <f t="shared" si="10"/>
        <v>29554.14012738853</v>
      </c>
      <c r="R36" s="21">
        <f t="shared" si="10"/>
        <v>93248.4076433121</v>
      </c>
      <c r="S36" s="21">
        <f t="shared" si="10"/>
        <v>12229.299363057324</v>
      </c>
      <c r="T36" s="21">
        <f t="shared" si="10"/>
        <v>81528.66242038216</v>
      </c>
      <c r="U36" s="21">
        <f t="shared" si="11"/>
        <v>216560.5095541401</v>
      </c>
      <c r="V36" s="24">
        <f t="shared" si="0"/>
        <v>5.59063087377705</v>
      </c>
      <c r="W36" s="24">
        <f t="shared" si="1"/>
        <v>17.63940430864138</v>
      </c>
      <c r="X36" s="24">
        <f t="shared" si="2"/>
        <v>2.3133644994939515</v>
      </c>
      <c r="Y36" s="24">
        <f t="shared" si="3"/>
        <v>15.422429996626345</v>
      </c>
      <c r="Z36" s="24">
        <f t="shared" si="12"/>
        <v>40.965829678538725</v>
      </c>
      <c r="AA36" s="24">
        <f t="shared" si="4"/>
        <v>8.08704489670868</v>
      </c>
      <c r="AB36" s="24">
        <f t="shared" si="5"/>
        <v>25.516020967201523</v>
      </c>
      <c r="AC36" s="24">
        <f t="shared" si="6"/>
        <v>3.346363405534626</v>
      </c>
      <c r="AD36" s="24">
        <f t="shared" si="7"/>
        <v>22.30908937023084</v>
      </c>
      <c r="AE36" s="24">
        <f t="shared" si="13"/>
        <v>59.25851863967567</v>
      </c>
    </row>
    <row r="37" spans="1:31" ht="12.75">
      <c r="A37" s="1">
        <v>3</v>
      </c>
      <c r="B37" s="1" t="s">
        <v>12</v>
      </c>
      <c r="C37" s="1">
        <v>2</v>
      </c>
      <c r="D37" s="1">
        <v>129</v>
      </c>
      <c r="E37" s="1">
        <v>117</v>
      </c>
      <c r="F37" s="1">
        <v>18</v>
      </c>
      <c r="G37" s="1">
        <v>152</v>
      </c>
      <c r="H37" s="2" t="s">
        <v>46</v>
      </c>
      <c r="I37" s="9">
        <v>7.799</v>
      </c>
      <c r="J37" s="9">
        <v>9.4279</v>
      </c>
      <c r="K37" s="9">
        <v>8.4192</v>
      </c>
      <c r="L37" s="10">
        <f t="shared" si="8"/>
        <v>61.925225612376444</v>
      </c>
      <c r="M37" s="10"/>
      <c r="O37" s="1">
        <v>2.75</v>
      </c>
      <c r="P37" s="3">
        <f t="shared" si="9"/>
        <v>4.378899999999999</v>
      </c>
      <c r="Q37" s="21">
        <f t="shared" si="10"/>
        <v>65732.48407643312</v>
      </c>
      <c r="R37" s="21">
        <f t="shared" si="10"/>
        <v>59617.83439490445</v>
      </c>
      <c r="S37" s="21">
        <f t="shared" si="10"/>
        <v>9171.974522292992</v>
      </c>
      <c r="T37" s="21">
        <f t="shared" si="10"/>
        <v>77452.22929936304</v>
      </c>
      <c r="U37" s="21">
        <f t="shared" si="11"/>
        <v>211974.5222929936</v>
      </c>
      <c r="V37" s="24">
        <f t="shared" si="0"/>
        <v>29.45945328735528</v>
      </c>
      <c r="W37" s="24">
        <f t="shared" si="1"/>
        <v>26.719039028066415</v>
      </c>
      <c r="X37" s="24">
        <f t="shared" si="2"/>
        <v>4.1106213889332945</v>
      </c>
      <c r="Y37" s="24">
        <f t="shared" si="3"/>
        <v>34.71191395099227</v>
      </c>
      <c r="Z37" s="24">
        <f t="shared" si="12"/>
        <v>95.00102765534726</v>
      </c>
      <c r="AA37" s="24">
        <f t="shared" si="4"/>
        <v>47.57262165140579</v>
      </c>
      <c r="AB37" s="24">
        <f t="shared" si="5"/>
        <v>43.147261497786644</v>
      </c>
      <c r="AC37" s="24">
        <f t="shared" si="6"/>
        <v>6.6380402304287145</v>
      </c>
      <c r="AD37" s="24">
        <f t="shared" si="7"/>
        <v>56.05456194584248</v>
      </c>
      <c r="AE37" s="24">
        <f t="shared" si="13"/>
        <v>153.41248532546365</v>
      </c>
    </row>
    <row r="38" spans="1:31" ht="12.75">
      <c r="A38" s="1">
        <v>3</v>
      </c>
      <c r="B38" s="1" t="s">
        <v>12</v>
      </c>
      <c r="C38" s="1">
        <v>3</v>
      </c>
      <c r="D38" s="1">
        <v>54</v>
      </c>
      <c r="E38" s="1">
        <v>159</v>
      </c>
      <c r="F38" s="1">
        <v>26</v>
      </c>
      <c r="G38" s="1">
        <v>151</v>
      </c>
      <c r="H38" s="2" t="s">
        <v>25</v>
      </c>
      <c r="I38" s="9">
        <v>8.5586</v>
      </c>
      <c r="J38" s="9">
        <v>10.6023</v>
      </c>
      <c r="K38" s="9">
        <v>9.1757</v>
      </c>
      <c r="L38" s="10">
        <f t="shared" si="8"/>
        <v>69.80476586583154</v>
      </c>
      <c r="M38" s="10"/>
      <c r="O38" s="1">
        <v>7.52</v>
      </c>
      <c r="P38" s="3">
        <f t="shared" si="9"/>
        <v>9.563699999999999</v>
      </c>
      <c r="Q38" s="21">
        <f t="shared" si="10"/>
        <v>27515.923566878977</v>
      </c>
      <c r="R38" s="21">
        <f t="shared" si="10"/>
        <v>81019.10828025476</v>
      </c>
      <c r="S38" s="21">
        <f t="shared" si="10"/>
        <v>13248.4076433121</v>
      </c>
      <c r="T38" s="21">
        <f t="shared" si="10"/>
        <v>76942.67515923566</v>
      </c>
      <c r="U38" s="21">
        <f t="shared" si="11"/>
        <v>198726.1146496815</v>
      </c>
      <c r="V38" s="24">
        <f t="shared" si="0"/>
        <v>5.646350261927916</v>
      </c>
      <c r="W38" s="24">
        <f t="shared" si="1"/>
        <v>16.625364660121086</v>
      </c>
      <c r="X38" s="24">
        <f t="shared" si="2"/>
        <v>2.718613089076404</v>
      </c>
      <c r="Y38" s="24">
        <f t="shared" si="3"/>
        <v>15.788868325020653</v>
      </c>
      <c r="Z38" s="24">
        <f t="shared" si="12"/>
        <v>40.77919633614606</v>
      </c>
      <c r="AA38" s="24">
        <f t="shared" si="4"/>
        <v>8.08877473033933</v>
      </c>
      <c r="AB38" s="24">
        <f t="shared" si="5"/>
        <v>23.81694781711025</v>
      </c>
      <c r="AC38" s="24">
        <f t="shared" si="6"/>
        <v>3.8945952405337514</v>
      </c>
      <c r="AD38" s="24">
        <f t="shared" si="7"/>
        <v>22.61861082002294</v>
      </c>
      <c r="AE38" s="24">
        <f t="shared" si="13"/>
        <v>58.41892860800627</v>
      </c>
    </row>
    <row r="39" spans="1:31" s="3" customFormat="1" ht="12.75">
      <c r="A39" s="3">
        <v>4</v>
      </c>
      <c r="B39" s="3" t="s">
        <v>9</v>
      </c>
      <c r="C39" s="3">
        <v>1</v>
      </c>
      <c r="D39" s="3">
        <v>36</v>
      </c>
      <c r="E39" s="3">
        <v>151</v>
      </c>
      <c r="F39" s="3">
        <v>23</v>
      </c>
      <c r="G39" s="3">
        <v>133</v>
      </c>
      <c r="H39" s="4" t="s">
        <v>141</v>
      </c>
      <c r="I39" s="9">
        <v>7.3543</v>
      </c>
      <c r="J39" s="9">
        <v>8.9355</v>
      </c>
      <c r="K39" s="9">
        <v>7.8982</v>
      </c>
      <c r="L39" s="10">
        <f t="shared" si="8"/>
        <v>65.60207437389323</v>
      </c>
      <c r="M39" s="10">
        <f>AVERAGE(L39:L41)</f>
        <v>64.83728859390295</v>
      </c>
      <c r="O39" s="3">
        <v>8.35</v>
      </c>
      <c r="P39" s="3">
        <f t="shared" si="9"/>
        <v>9.931199999999999</v>
      </c>
      <c r="Q39" s="21">
        <f t="shared" si="10"/>
        <v>18343.949044585985</v>
      </c>
      <c r="R39" s="21">
        <f t="shared" si="10"/>
        <v>76942.67515923566</v>
      </c>
      <c r="S39" s="21">
        <f t="shared" si="10"/>
        <v>11719.745222929934</v>
      </c>
      <c r="T39" s="21">
        <f t="shared" si="10"/>
        <v>67770.70063694267</v>
      </c>
      <c r="U39" s="21">
        <f t="shared" si="11"/>
        <v>174777.07006369426</v>
      </c>
      <c r="V39" s="24">
        <f t="shared" si="0"/>
        <v>3.6249395843402614</v>
      </c>
      <c r="W39" s="24">
        <f t="shared" si="1"/>
        <v>15.204607700982763</v>
      </c>
      <c r="X39" s="24">
        <f t="shared" si="2"/>
        <v>2.3159336233285</v>
      </c>
      <c r="Y39" s="24">
        <f t="shared" si="3"/>
        <v>13.392137908812632</v>
      </c>
      <c r="Z39" s="24">
        <f t="shared" si="12"/>
        <v>34.53761881746416</v>
      </c>
      <c r="AA39" s="24">
        <f t="shared" si="4"/>
        <v>5.525647807537668</v>
      </c>
      <c r="AB39" s="24">
        <f t="shared" si="5"/>
        <v>23.177022748282997</v>
      </c>
      <c r="AC39" s="24">
        <f t="shared" si="6"/>
        <v>3.5302749881490656</v>
      </c>
      <c r="AD39" s="24">
        <f t="shared" si="7"/>
        <v>20.414198844514164</v>
      </c>
      <c r="AE39" s="24">
        <f t="shared" si="13"/>
        <v>52.647144388483895</v>
      </c>
    </row>
    <row r="40" spans="1:31" ht="12.75">
      <c r="A40" s="1">
        <v>4</v>
      </c>
      <c r="B40" s="1" t="s">
        <v>9</v>
      </c>
      <c r="C40" s="1">
        <v>2</v>
      </c>
      <c r="D40" s="1">
        <v>48</v>
      </c>
      <c r="E40" s="1">
        <v>146</v>
      </c>
      <c r="F40" s="1">
        <v>40</v>
      </c>
      <c r="G40" s="1">
        <v>82</v>
      </c>
      <c r="H40" s="2" t="s">
        <v>26</v>
      </c>
      <c r="I40" s="9">
        <v>8.006</v>
      </c>
      <c r="J40" s="9">
        <v>9.7189</v>
      </c>
      <c r="K40" s="9">
        <v>8.6375</v>
      </c>
      <c r="L40" s="10">
        <f t="shared" si="8"/>
        <v>63.132698931636455</v>
      </c>
      <c r="M40" s="10"/>
      <c r="O40" s="1">
        <v>3.42</v>
      </c>
      <c r="P40" s="3">
        <f t="shared" si="9"/>
        <v>5.132899999999999</v>
      </c>
      <c r="Q40" s="21">
        <f t="shared" si="10"/>
        <v>24458.598726114647</v>
      </c>
      <c r="R40" s="21">
        <f t="shared" si="10"/>
        <v>74394.90445859871</v>
      </c>
      <c r="S40" s="21">
        <f t="shared" si="10"/>
        <v>20382.16560509554</v>
      </c>
      <c r="T40" s="21">
        <f t="shared" si="10"/>
        <v>41783.43949044585</v>
      </c>
      <c r="U40" s="21">
        <f t="shared" si="11"/>
        <v>161019.10828025476</v>
      </c>
      <c r="V40" s="24">
        <f t="shared" si="0"/>
        <v>9.351438757817219</v>
      </c>
      <c r="W40" s="24">
        <f t="shared" si="1"/>
        <v>28.443959555027376</v>
      </c>
      <c r="X40" s="24">
        <f t="shared" si="2"/>
        <v>7.792865631514349</v>
      </c>
      <c r="Y40" s="24">
        <f t="shared" si="3"/>
        <v>15.975374544604417</v>
      </c>
      <c r="Z40" s="24">
        <f t="shared" si="12"/>
        <v>61.56363848896336</v>
      </c>
      <c r="AA40" s="24">
        <f t="shared" si="4"/>
        <v>14.81235384526087</v>
      </c>
      <c r="AB40" s="24">
        <f t="shared" si="5"/>
        <v>45.05424294600181</v>
      </c>
      <c r="AC40" s="24">
        <f t="shared" si="6"/>
        <v>12.343628204384057</v>
      </c>
      <c r="AD40" s="24">
        <f t="shared" si="7"/>
        <v>25.304437818987317</v>
      </c>
      <c r="AE40" s="24">
        <f t="shared" si="13"/>
        <v>97.51466281463405</v>
      </c>
    </row>
    <row r="41" spans="1:31" ht="12.75">
      <c r="A41" s="1">
        <v>4</v>
      </c>
      <c r="B41" s="1" t="s">
        <v>9</v>
      </c>
      <c r="C41" s="1">
        <v>3</v>
      </c>
      <c r="D41" s="1">
        <v>76</v>
      </c>
      <c r="E41" s="1">
        <v>120</v>
      </c>
      <c r="F41" s="1">
        <v>37</v>
      </c>
      <c r="G41" s="1">
        <v>95</v>
      </c>
      <c r="H41" s="2" t="s">
        <v>27</v>
      </c>
      <c r="I41" s="9">
        <v>6.7603</v>
      </c>
      <c r="J41" s="9">
        <v>9.2896</v>
      </c>
      <c r="K41" s="9">
        <v>7.6259</v>
      </c>
      <c r="L41" s="10">
        <f t="shared" si="8"/>
        <v>65.77709247617919</v>
      </c>
      <c r="M41" s="10"/>
      <c r="O41" s="1">
        <v>9.05</v>
      </c>
      <c r="P41" s="3">
        <f t="shared" si="9"/>
        <v>11.5793</v>
      </c>
      <c r="Q41" s="21">
        <f t="shared" si="10"/>
        <v>38726.11464968152</v>
      </c>
      <c r="R41" s="21">
        <f t="shared" si="10"/>
        <v>61146.49681528661</v>
      </c>
      <c r="S41" s="21">
        <f t="shared" si="10"/>
        <v>18853.503184713372</v>
      </c>
      <c r="T41" s="21">
        <f t="shared" si="10"/>
        <v>48407.64331210191</v>
      </c>
      <c r="U41" s="21">
        <f t="shared" si="11"/>
        <v>167133.75796178338</v>
      </c>
      <c r="V41" s="24">
        <f t="shared" si="0"/>
        <v>6.563436477161832</v>
      </c>
      <c r="W41" s="24">
        <f t="shared" si="1"/>
        <v>10.363320753413419</v>
      </c>
      <c r="X41" s="24">
        <f t="shared" si="2"/>
        <v>3.1953572323024706</v>
      </c>
      <c r="Y41" s="24">
        <f t="shared" si="3"/>
        <v>8.20429559645229</v>
      </c>
      <c r="Z41" s="24">
        <f t="shared" si="12"/>
        <v>28.326410059330012</v>
      </c>
      <c r="AA41" s="24">
        <f t="shared" si="4"/>
        <v>9.978301305334748</v>
      </c>
      <c r="AB41" s="24">
        <f t="shared" si="5"/>
        <v>15.755212587370654</v>
      </c>
      <c r="AC41" s="24">
        <f t="shared" si="6"/>
        <v>4.857857214439285</v>
      </c>
      <c r="AD41" s="24">
        <f t="shared" si="7"/>
        <v>12.472876631668434</v>
      </c>
      <c r="AE41" s="24">
        <f t="shared" si="13"/>
        <v>43.06424773881312</v>
      </c>
    </row>
    <row r="42" spans="1:31" s="3" customFormat="1" ht="12.75">
      <c r="A42" s="3">
        <v>4</v>
      </c>
      <c r="B42" s="3" t="s">
        <v>10</v>
      </c>
      <c r="C42" s="3">
        <v>1</v>
      </c>
      <c r="D42" s="3">
        <v>64</v>
      </c>
      <c r="E42" s="3">
        <v>116</v>
      </c>
      <c r="F42" s="3">
        <v>47</v>
      </c>
      <c r="G42" s="3">
        <v>59</v>
      </c>
      <c r="H42" s="4" t="s">
        <v>142</v>
      </c>
      <c r="I42" s="9">
        <v>7.8266</v>
      </c>
      <c r="J42" s="9">
        <v>9.8015</v>
      </c>
      <c r="K42" s="9">
        <v>8.6168</v>
      </c>
      <c r="L42" s="10">
        <f t="shared" si="8"/>
        <v>59.98784748594869</v>
      </c>
      <c r="M42" s="10">
        <f>AVERAGE(L42:L44)</f>
        <v>52.54645480244784</v>
      </c>
      <c r="O42" s="3">
        <v>3.26</v>
      </c>
      <c r="P42" s="3">
        <f t="shared" si="9"/>
        <v>5.2349000000000006</v>
      </c>
      <c r="Q42" s="21">
        <f t="shared" si="10"/>
        <v>32611.46496815286</v>
      </c>
      <c r="R42" s="21">
        <f t="shared" si="10"/>
        <v>59108.28025477706</v>
      </c>
      <c r="S42" s="21">
        <f t="shared" si="10"/>
        <v>23949.044585987256</v>
      </c>
      <c r="T42" s="21">
        <f t="shared" si="10"/>
        <v>30063.69426751592</v>
      </c>
      <c r="U42" s="21">
        <f t="shared" si="11"/>
        <v>145732.4840764331</v>
      </c>
      <c r="V42" s="24">
        <f t="shared" si="0"/>
        <v>12.22563945825135</v>
      </c>
      <c r="W42" s="24">
        <f t="shared" si="1"/>
        <v>22.158971518080573</v>
      </c>
      <c r="X42" s="24">
        <f t="shared" si="2"/>
        <v>8.978203977153335</v>
      </c>
      <c r="Y42" s="24">
        <f t="shared" si="3"/>
        <v>11.270511375575463</v>
      </c>
      <c r="Z42" s="24">
        <f t="shared" si="12"/>
        <v>54.63332632906072</v>
      </c>
      <c r="AA42" s="24">
        <f t="shared" si="4"/>
        <v>20.38019360690519</v>
      </c>
      <c r="AB42" s="24">
        <f t="shared" si="5"/>
        <v>36.939100912515656</v>
      </c>
      <c r="AC42" s="24">
        <f t="shared" si="6"/>
        <v>14.966704680070999</v>
      </c>
      <c r="AD42" s="24">
        <f t="shared" si="7"/>
        <v>18.787990981365724</v>
      </c>
      <c r="AE42" s="24">
        <f t="shared" si="13"/>
        <v>91.07399018085758</v>
      </c>
    </row>
    <row r="43" spans="1:31" ht="12.75">
      <c r="A43" s="1">
        <v>4</v>
      </c>
      <c r="B43" s="1" t="s">
        <v>10</v>
      </c>
      <c r="C43" s="1">
        <v>2</v>
      </c>
      <c r="D43" s="1">
        <v>24</v>
      </c>
      <c r="E43" s="1">
        <v>100</v>
      </c>
      <c r="F43" s="1">
        <v>6</v>
      </c>
      <c r="G43" s="1">
        <v>61</v>
      </c>
      <c r="H43" s="2" t="s">
        <v>28</v>
      </c>
      <c r="I43" s="9">
        <v>9.8705</v>
      </c>
      <c r="J43" s="9">
        <v>13.6075</v>
      </c>
      <c r="K43" s="9">
        <v>11.8056</v>
      </c>
      <c r="L43" s="10">
        <f t="shared" si="8"/>
        <v>48.21782178217821</v>
      </c>
      <c r="M43" s="10"/>
      <c r="O43" s="1">
        <v>15.83</v>
      </c>
      <c r="P43" s="3">
        <f t="shared" si="9"/>
        <v>19.567</v>
      </c>
      <c r="Q43" s="21">
        <f aca="true" t="shared" si="14" ref="Q43:Q62">D43/((0.025*0.025)*3.14)</f>
        <v>12229.299363057324</v>
      </c>
      <c r="R43" s="21">
        <f aca="true" t="shared" si="15" ref="R43:R62">E43/((0.025*0.025)*3.14)</f>
        <v>50955.414012738845</v>
      </c>
      <c r="S43" s="21">
        <f aca="true" t="shared" si="16" ref="S43:S62">F43/((0.025*0.025)*3.14)</f>
        <v>3057.324840764331</v>
      </c>
      <c r="T43" s="21">
        <f aca="true" t="shared" si="17" ref="T43:T62">G43/((0.025*0.025)*3.14)</f>
        <v>31082.802547770698</v>
      </c>
      <c r="U43" s="21">
        <f aca="true" t="shared" si="18" ref="U43:U62">SUM(Q43:T43)</f>
        <v>97324.8407643312</v>
      </c>
      <c r="V43" s="24">
        <f aca="true" t="shared" si="19" ref="V43:V62">D43/$P43</f>
        <v>1.2265549138856238</v>
      </c>
      <c r="W43" s="24">
        <f aca="true" t="shared" si="20" ref="W43:W62">E43/$P43</f>
        <v>5.110645474523432</v>
      </c>
      <c r="X43" s="24">
        <f aca="true" t="shared" si="21" ref="X43:X62">F43/$P43</f>
        <v>0.30663872847140594</v>
      </c>
      <c r="Y43" s="24">
        <f aca="true" t="shared" si="22" ref="Y43:Y62">G43/$P43</f>
        <v>3.117493739459294</v>
      </c>
      <c r="Z43" s="24">
        <f aca="true" t="shared" si="23" ref="Z43:Z62">SUM(V43:Y43)</f>
        <v>9.761332856339756</v>
      </c>
      <c r="AA43" s="24">
        <f aca="true" t="shared" si="24" ref="AA43:AA62">D43/($P43*($L43/100))</f>
        <v>2.5437791848551954</v>
      </c>
      <c r="AB43" s="24">
        <f aca="true" t="shared" si="25" ref="AB43:AB62">E43/($P43*($L43/100))</f>
        <v>10.599079936896647</v>
      </c>
      <c r="AC43" s="24">
        <f aca="true" t="shared" si="26" ref="AC43:AC62">F43/($P43*($L43/100))</f>
        <v>0.6359447962137988</v>
      </c>
      <c r="AD43" s="24">
        <f aca="true" t="shared" si="27" ref="AD43:AD62">G43/($P43*($L43/100))</f>
        <v>6.465438761506955</v>
      </c>
      <c r="AE43" s="24">
        <f aca="true" t="shared" si="28" ref="AE43:AE62">SUM(AA43:AD43)</f>
        <v>20.244242679472595</v>
      </c>
    </row>
    <row r="44" spans="1:31" ht="12.75">
      <c r="A44" s="1">
        <v>4</v>
      </c>
      <c r="B44" s="1" t="s">
        <v>10</v>
      </c>
      <c r="C44" s="1">
        <v>3</v>
      </c>
      <c r="D44" s="1">
        <v>30</v>
      </c>
      <c r="E44" s="1">
        <v>100</v>
      </c>
      <c r="F44" s="1">
        <v>25</v>
      </c>
      <c r="G44" s="1">
        <v>37</v>
      </c>
      <c r="H44" s="2" t="s">
        <v>29</v>
      </c>
      <c r="I44" s="9">
        <v>7.8371</v>
      </c>
      <c r="J44" s="9">
        <v>9.5323</v>
      </c>
      <c r="K44" s="9">
        <v>8.6943</v>
      </c>
      <c r="L44" s="10">
        <f t="shared" si="8"/>
        <v>49.433695139216596</v>
      </c>
      <c r="M44" s="10"/>
      <c r="O44" s="1">
        <v>4.66</v>
      </c>
      <c r="P44" s="3">
        <f t="shared" si="9"/>
        <v>6.355199999999999</v>
      </c>
      <c r="Q44" s="21">
        <f t="shared" si="14"/>
        <v>15286.624203821653</v>
      </c>
      <c r="R44" s="21">
        <f t="shared" si="15"/>
        <v>50955.414012738845</v>
      </c>
      <c r="S44" s="21">
        <f t="shared" si="16"/>
        <v>12738.853503184711</v>
      </c>
      <c r="T44" s="21">
        <f t="shared" si="17"/>
        <v>18853.503184713372</v>
      </c>
      <c r="U44" s="21">
        <f t="shared" si="18"/>
        <v>97834.39490445858</v>
      </c>
      <c r="V44" s="24">
        <f t="shared" si="19"/>
        <v>4.720543806646527</v>
      </c>
      <c r="W44" s="24">
        <f t="shared" si="20"/>
        <v>15.735146022155089</v>
      </c>
      <c r="X44" s="24">
        <f t="shared" si="21"/>
        <v>3.933786505538772</v>
      </c>
      <c r="Y44" s="24">
        <f t="shared" si="22"/>
        <v>5.822004028197383</v>
      </c>
      <c r="Z44" s="24">
        <f t="shared" si="23"/>
        <v>30.211480362537774</v>
      </c>
      <c r="AA44" s="24">
        <f t="shared" si="24"/>
        <v>9.549243270915506</v>
      </c>
      <c r="AB44" s="24">
        <f t="shared" si="25"/>
        <v>31.830810903051685</v>
      </c>
      <c r="AC44" s="24">
        <f t="shared" si="26"/>
        <v>7.957702725762921</v>
      </c>
      <c r="AD44" s="24">
        <f t="shared" si="27"/>
        <v>11.777400034129125</v>
      </c>
      <c r="AE44" s="24">
        <f t="shared" si="28"/>
        <v>61.11515693385923</v>
      </c>
    </row>
    <row r="45" spans="1:31" s="3" customFormat="1" ht="12.75">
      <c r="A45" s="3">
        <v>4</v>
      </c>
      <c r="B45" s="3" t="s">
        <v>11</v>
      </c>
      <c r="C45" s="3">
        <v>1</v>
      </c>
      <c r="D45" s="3">
        <v>26</v>
      </c>
      <c r="E45" s="3">
        <v>70</v>
      </c>
      <c r="F45" s="3">
        <v>38</v>
      </c>
      <c r="G45" s="3">
        <v>175</v>
      </c>
      <c r="H45" s="4" t="s">
        <v>143</v>
      </c>
      <c r="I45" s="9">
        <v>9.0617</v>
      </c>
      <c r="J45" s="9">
        <v>11.4364</v>
      </c>
      <c r="K45" s="9">
        <v>10.4915</v>
      </c>
      <c r="L45" s="10">
        <f t="shared" si="8"/>
        <v>39.79028929970102</v>
      </c>
      <c r="M45" s="10">
        <f>AVERAGE(L45:L47)</f>
        <v>51.886338695418694</v>
      </c>
      <c r="O45" s="3">
        <v>9.41</v>
      </c>
      <c r="P45" s="3">
        <f t="shared" si="9"/>
        <v>11.7847</v>
      </c>
      <c r="Q45" s="21">
        <f t="shared" si="14"/>
        <v>13248.4076433121</v>
      </c>
      <c r="R45" s="21">
        <f t="shared" si="15"/>
        <v>35668.789808917194</v>
      </c>
      <c r="S45" s="21">
        <f t="shared" si="16"/>
        <v>19363.05732484076</v>
      </c>
      <c r="T45" s="21">
        <f t="shared" si="17"/>
        <v>89171.97452229298</v>
      </c>
      <c r="U45" s="21">
        <f t="shared" si="18"/>
        <v>157452.22929936304</v>
      </c>
      <c r="V45" s="24">
        <f t="shared" si="19"/>
        <v>2.206250477313805</v>
      </c>
      <c r="W45" s="24">
        <f t="shared" si="20"/>
        <v>5.939905131229475</v>
      </c>
      <c r="X45" s="24">
        <f t="shared" si="21"/>
        <v>3.224519928381715</v>
      </c>
      <c r="Y45" s="24">
        <f t="shared" si="22"/>
        <v>14.849762828073688</v>
      </c>
      <c r="Z45" s="24">
        <f t="shared" si="23"/>
        <v>26.220438364998685</v>
      </c>
      <c r="AA45" s="24">
        <f t="shared" si="24"/>
        <v>5.544695743969829</v>
      </c>
      <c r="AB45" s="24">
        <f t="shared" si="25"/>
        <v>14.928027002995695</v>
      </c>
      <c r="AC45" s="24">
        <f t="shared" si="26"/>
        <v>8.10378608734052</v>
      </c>
      <c r="AD45" s="24">
        <f t="shared" si="27"/>
        <v>37.320067507489235</v>
      </c>
      <c r="AE45" s="24">
        <f t="shared" si="28"/>
        <v>65.89657634179528</v>
      </c>
    </row>
    <row r="46" spans="1:31" ht="12.75">
      <c r="A46" s="1">
        <v>4</v>
      </c>
      <c r="B46" s="1" t="s">
        <v>11</v>
      </c>
      <c r="C46" s="1">
        <v>2</v>
      </c>
      <c r="D46" s="1">
        <v>87</v>
      </c>
      <c r="E46" s="1">
        <v>162</v>
      </c>
      <c r="F46" s="1">
        <v>49</v>
      </c>
      <c r="G46" s="1">
        <v>105</v>
      </c>
      <c r="H46" s="2" t="s">
        <v>30</v>
      </c>
      <c r="I46" s="9">
        <v>7.8253</v>
      </c>
      <c r="J46" s="9">
        <v>9.6016</v>
      </c>
      <c r="K46" s="9">
        <v>8.5268</v>
      </c>
      <c r="L46" s="10">
        <f t="shared" si="8"/>
        <v>60.50779710634467</v>
      </c>
      <c r="M46" s="10"/>
      <c r="O46" s="1">
        <v>6.11</v>
      </c>
      <c r="P46" s="3">
        <f t="shared" si="9"/>
        <v>7.886299999999999</v>
      </c>
      <c r="Q46" s="21">
        <f t="shared" si="14"/>
        <v>44331.2101910828</v>
      </c>
      <c r="R46" s="21">
        <f t="shared" si="15"/>
        <v>82547.77070063693</v>
      </c>
      <c r="S46" s="21">
        <f t="shared" si="16"/>
        <v>24968.152866242035</v>
      </c>
      <c r="T46" s="21">
        <f t="shared" si="17"/>
        <v>53503.18471337579</v>
      </c>
      <c r="U46" s="21">
        <f t="shared" si="18"/>
        <v>205350.31847133755</v>
      </c>
      <c r="V46" s="24">
        <f t="shared" si="19"/>
        <v>11.031789305504484</v>
      </c>
      <c r="W46" s="24">
        <f t="shared" si="20"/>
        <v>20.541952499904898</v>
      </c>
      <c r="X46" s="24">
        <f t="shared" si="21"/>
        <v>6.213306620341606</v>
      </c>
      <c r="Y46" s="24">
        <f t="shared" si="22"/>
        <v>13.314228472160583</v>
      </c>
      <c r="Z46" s="24">
        <f t="shared" si="23"/>
        <v>51.101276897911575</v>
      </c>
      <c r="AA46" s="24">
        <f t="shared" si="24"/>
        <v>18.232012786906967</v>
      </c>
      <c r="AB46" s="24">
        <f t="shared" si="25"/>
        <v>33.94926518941297</v>
      </c>
      <c r="AC46" s="24">
        <f t="shared" si="26"/>
        <v>10.26860490297059</v>
      </c>
      <c r="AD46" s="24">
        <f t="shared" si="27"/>
        <v>22.004153363508408</v>
      </c>
      <c r="AE46" s="24">
        <f t="shared" si="28"/>
        <v>84.45403624279894</v>
      </c>
    </row>
    <row r="47" spans="1:31" ht="12.75">
      <c r="A47" s="1">
        <v>4</v>
      </c>
      <c r="B47" s="1" t="s">
        <v>11</v>
      </c>
      <c r="C47" s="1">
        <v>3</v>
      </c>
      <c r="D47" s="1">
        <v>94</v>
      </c>
      <c r="E47" s="1">
        <v>164</v>
      </c>
      <c r="F47" s="1">
        <v>49</v>
      </c>
      <c r="G47" s="1">
        <v>174</v>
      </c>
      <c r="H47" s="2" t="s">
        <v>31</v>
      </c>
      <c r="I47" s="9">
        <v>7.8183</v>
      </c>
      <c r="J47" s="9">
        <v>10.1761</v>
      </c>
      <c r="K47" s="9">
        <v>8.8708</v>
      </c>
      <c r="L47" s="10">
        <f t="shared" si="8"/>
        <v>55.3609296802104</v>
      </c>
      <c r="M47" s="10"/>
      <c r="O47" s="1">
        <v>8.7</v>
      </c>
      <c r="P47" s="3">
        <f t="shared" si="9"/>
        <v>11.0578</v>
      </c>
      <c r="Q47" s="21">
        <f t="shared" si="14"/>
        <v>47898.08917197451</v>
      </c>
      <c r="R47" s="21">
        <f t="shared" si="15"/>
        <v>83566.8789808917</v>
      </c>
      <c r="S47" s="21">
        <f t="shared" si="16"/>
        <v>24968.152866242035</v>
      </c>
      <c r="T47" s="21">
        <f t="shared" si="17"/>
        <v>88662.4203821656</v>
      </c>
      <c r="U47" s="21">
        <f t="shared" si="18"/>
        <v>245095.54140127386</v>
      </c>
      <c r="V47" s="24">
        <f t="shared" si="19"/>
        <v>8.500786774946192</v>
      </c>
      <c r="W47" s="24">
        <f t="shared" si="20"/>
        <v>14.83115990522527</v>
      </c>
      <c r="X47" s="24">
        <f t="shared" si="21"/>
        <v>4.431261191195355</v>
      </c>
      <c r="Y47" s="24">
        <f t="shared" si="22"/>
        <v>15.735498923836568</v>
      </c>
      <c r="Z47" s="24">
        <f t="shared" si="23"/>
        <v>43.49870679520338</v>
      </c>
      <c r="AA47" s="24">
        <f t="shared" si="24"/>
        <v>15.355209574785963</v>
      </c>
      <c r="AB47" s="24">
        <f t="shared" si="25"/>
        <v>26.78994010920104</v>
      </c>
      <c r="AC47" s="24">
        <f t="shared" si="26"/>
        <v>8.004311374090555</v>
      </c>
      <c r="AD47" s="24">
        <f t="shared" si="27"/>
        <v>28.423473042688908</v>
      </c>
      <c r="AE47" s="24">
        <f t="shared" si="28"/>
        <v>78.57293410076646</v>
      </c>
    </row>
    <row r="48" spans="1:31" s="3" customFormat="1" ht="12.75">
      <c r="A48" s="3">
        <v>4</v>
      </c>
      <c r="B48" s="3" t="s">
        <v>12</v>
      </c>
      <c r="C48" s="3">
        <v>1</v>
      </c>
      <c r="D48" s="3">
        <v>77</v>
      </c>
      <c r="E48" s="3">
        <v>207</v>
      </c>
      <c r="F48" s="3">
        <v>30</v>
      </c>
      <c r="G48" s="3">
        <v>104</v>
      </c>
      <c r="H48" s="4" t="s">
        <v>144</v>
      </c>
      <c r="I48" s="9">
        <v>8.643</v>
      </c>
      <c r="J48" s="9">
        <v>10.8259</v>
      </c>
      <c r="K48" s="9">
        <v>9.2352</v>
      </c>
      <c r="L48" s="10">
        <f t="shared" si="8"/>
        <v>72.87095148655457</v>
      </c>
      <c r="M48" s="10">
        <f>AVERAGE(L48:L50)</f>
        <v>56.25221312366688</v>
      </c>
      <c r="O48" s="3">
        <v>11.78</v>
      </c>
      <c r="P48" s="3">
        <f t="shared" si="9"/>
        <v>13.9629</v>
      </c>
      <c r="Q48" s="21">
        <f t="shared" si="14"/>
        <v>39235.668789808915</v>
      </c>
      <c r="R48" s="21">
        <f t="shared" si="15"/>
        <v>105477.70700636941</v>
      </c>
      <c r="S48" s="21">
        <f t="shared" si="16"/>
        <v>15286.624203821653</v>
      </c>
      <c r="T48" s="21">
        <f t="shared" si="17"/>
        <v>52993.6305732484</v>
      </c>
      <c r="U48" s="21">
        <f t="shared" si="18"/>
        <v>212993.63057324837</v>
      </c>
      <c r="V48" s="24">
        <f t="shared" si="19"/>
        <v>5.514613726374893</v>
      </c>
      <c r="W48" s="24">
        <f t="shared" si="20"/>
        <v>14.8250005371377</v>
      </c>
      <c r="X48" s="24">
        <f t="shared" si="21"/>
        <v>2.148550802483725</v>
      </c>
      <c r="Y48" s="24">
        <f t="shared" si="22"/>
        <v>7.448309448610246</v>
      </c>
      <c r="Z48" s="24">
        <f t="shared" si="23"/>
        <v>29.936474514606566</v>
      </c>
      <c r="AA48" s="24">
        <f t="shared" si="24"/>
        <v>7.567643366633405</v>
      </c>
      <c r="AB48" s="24">
        <f t="shared" si="25"/>
        <v>20.344184115494997</v>
      </c>
      <c r="AC48" s="24">
        <f t="shared" si="26"/>
        <v>2.948432480506521</v>
      </c>
      <c r="AD48" s="24">
        <f t="shared" si="27"/>
        <v>10.221232599089275</v>
      </c>
      <c r="AE48" s="24">
        <f t="shared" si="28"/>
        <v>41.0814925617242</v>
      </c>
    </row>
    <row r="49" spans="1:31" ht="12.75">
      <c r="A49" s="1">
        <v>4</v>
      </c>
      <c r="B49" s="1" t="s">
        <v>12</v>
      </c>
      <c r="C49" s="1">
        <v>2</v>
      </c>
      <c r="D49" s="1">
        <v>85</v>
      </c>
      <c r="E49" s="1">
        <v>171</v>
      </c>
      <c r="F49" s="1">
        <v>32</v>
      </c>
      <c r="G49" s="1">
        <v>185</v>
      </c>
      <c r="H49" s="2" t="s">
        <v>47</v>
      </c>
      <c r="I49" s="9">
        <v>8.2373</v>
      </c>
      <c r="J49" s="9">
        <v>10.4621</v>
      </c>
      <c r="K49" s="9">
        <v>9.3858</v>
      </c>
      <c r="L49" s="10">
        <f t="shared" si="8"/>
        <v>48.37738223660553</v>
      </c>
      <c r="M49" s="10"/>
      <c r="O49" s="1">
        <v>14.4</v>
      </c>
      <c r="P49" s="3">
        <f t="shared" si="9"/>
        <v>16.6248</v>
      </c>
      <c r="Q49" s="21">
        <f t="shared" si="14"/>
        <v>43312.101910828016</v>
      </c>
      <c r="R49" s="21">
        <f t="shared" si="15"/>
        <v>87133.75796178343</v>
      </c>
      <c r="S49" s="21">
        <f t="shared" si="16"/>
        <v>16305.73248407643</v>
      </c>
      <c r="T49" s="21">
        <f t="shared" si="17"/>
        <v>94267.51592356687</v>
      </c>
      <c r="U49" s="21">
        <f t="shared" si="18"/>
        <v>241019.10828025476</v>
      </c>
      <c r="V49" s="24">
        <f t="shared" si="19"/>
        <v>5.1128434627785</v>
      </c>
      <c r="W49" s="24">
        <f t="shared" si="20"/>
        <v>10.2858380251191</v>
      </c>
      <c r="X49" s="24">
        <f t="shared" si="21"/>
        <v>1.9248351859871997</v>
      </c>
      <c r="Y49" s="24">
        <f t="shared" si="22"/>
        <v>11.127953418988499</v>
      </c>
      <c r="Z49" s="24">
        <f t="shared" si="23"/>
        <v>28.4514700928733</v>
      </c>
      <c r="AA49" s="24">
        <f t="shared" si="24"/>
        <v>10.568664996738462</v>
      </c>
      <c r="AB49" s="24">
        <f t="shared" si="25"/>
        <v>21.261667228732673</v>
      </c>
      <c r="AC49" s="24">
        <f t="shared" si="26"/>
        <v>3.978791528183892</v>
      </c>
      <c r="AD49" s="24">
        <f t="shared" si="27"/>
        <v>23.002388522313126</v>
      </c>
      <c r="AE49" s="24">
        <f t="shared" si="28"/>
        <v>58.811512275968155</v>
      </c>
    </row>
    <row r="50" spans="1:31" ht="12.75">
      <c r="A50" s="1">
        <v>4</v>
      </c>
      <c r="B50" s="1" t="s">
        <v>12</v>
      </c>
      <c r="C50" s="1">
        <v>3</v>
      </c>
      <c r="D50" s="1">
        <v>65</v>
      </c>
      <c r="E50" s="1">
        <v>157</v>
      </c>
      <c r="F50" s="1">
        <v>16</v>
      </c>
      <c r="G50" s="1">
        <v>106</v>
      </c>
      <c r="H50" s="2" t="s">
        <v>48</v>
      </c>
      <c r="I50" s="9">
        <v>8.7834</v>
      </c>
      <c r="J50" s="9">
        <v>10.5593</v>
      </c>
      <c r="K50" s="9">
        <v>9.7156</v>
      </c>
      <c r="L50" s="10">
        <f t="shared" si="8"/>
        <v>47.50830564784053</v>
      </c>
      <c r="M50" s="10"/>
      <c r="O50" s="1">
        <v>8.29</v>
      </c>
      <c r="P50" s="3">
        <f t="shared" si="9"/>
        <v>10.0659</v>
      </c>
      <c r="Q50" s="21">
        <f t="shared" si="14"/>
        <v>33121.01910828025</v>
      </c>
      <c r="R50" s="21">
        <f t="shared" si="15"/>
        <v>79999.99999999999</v>
      </c>
      <c r="S50" s="21">
        <f t="shared" si="16"/>
        <v>8152.866242038215</v>
      </c>
      <c r="T50" s="21">
        <f t="shared" si="17"/>
        <v>54012.73885350318</v>
      </c>
      <c r="U50" s="21">
        <f t="shared" si="18"/>
        <v>175286.62420382164</v>
      </c>
      <c r="V50" s="24">
        <f t="shared" si="19"/>
        <v>6.457445434586078</v>
      </c>
      <c r="W50" s="24">
        <f t="shared" si="20"/>
        <v>15.597214357384836</v>
      </c>
      <c r="X50" s="24">
        <f t="shared" si="21"/>
        <v>1.5895250300519577</v>
      </c>
      <c r="Y50" s="24">
        <f t="shared" si="22"/>
        <v>10.53060332409422</v>
      </c>
      <c r="Z50" s="24">
        <f t="shared" si="23"/>
        <v>34.174788146117095</v>
      </c>
      <c r="AA50" s="24">
        <f t="shared" si="24"/>
        <v>13.59224528538748</v>
      </c>
      <c r="AB50" s="24">
        <f t="shared" si="25"/>
        <v>32.83050015085899</v>
      </c>
      <c r="AC50" s="24">
        <f t="shared" si="26"/>
        <v>3.34578345486461</v>
      </c>
      <c r="AD50" s="24">
        <f t="shared" si="27"/>
        <v>22.16581538847804</v>
      </c>
      <c r="AE50" s="24">
        <f t="shared" si="28"/>
        <v>71.93434427958911</v>
      </c>
    </row>
    <row r="51" spans="1:31" s="3" customFormat="1" ht="12.75">
      <c r="A51" s="3">
        <v>5</v>
      </c>
      <c r="B51" s="3" t="s">
        <v>9</v>
      </c>
      <c r="C51" s="3">
        <v>1</v>
      </c>
      <c r="D51" s="3">
        <v>12</v>
      </c>
      <c r="E51" s="3">
        <v>12</v>
      </c>
      <c r="F51" s="3">
        <v>1</v>
      </c>
      <c r="G51" s="3">
        <v>8</v>
      </c>
      <c r="H51" s="4" t="s">
        <v>145</v>
      </c>
      <c r="I51" s="9">
        <v>7.8329</v>
      </c>
      <c r="J51" s="9">
        <v>10.5121</v>
      </c>
      <c r="K51" s="9">
        <v>8.4344</v>
      </c>
      <c r="L51" s="10">
        <f t="shared" si="8"/>
        <v>77.54926843833981</v>
      </c>
      <c r="M51" s="10">
        <f>AVERAGE(L51:L53)</f>
        <v>60.678327962340944</v>
      </c>
      <c r="O51" s="3">
        <v>21.33</v>
      </c>
      <c r="P51" s="3">
        <f t="shared" si="9"/>
        <v>24.0092</v>
      </c>
      <c r="Q51" s="21">
        <f t="shared" si="14"/>
        <v>6114.649681528662</v>
      </c>
      <c r="R51" s="21">
        <f t="shared" si="15"/>
        <v>6114.649681528662</v>
      </c>
      <c r="S51" s="21">
        <f t="shared" si="16"/>
        <v>509.55414012738845</v>
      </c>
      <c r="T51" s="21">
        <f t="shared" si="17"/>
        <v>4076.4331210191076</v>
      </c>
      <c r="U51" s="21">
        <f t="shared" si="18"/>
        <v>16815.286624203818</v>
      </c>
      <c r="V51" s="24">
        <f t="shared" si="19"/>
        <v>0.499808406777402</v>
      </c>
      <c r="W51" s="24">
        <f t="shared" si="20"/>
        <v>0.499808406777402</v>
      </c>
      <c r="X51" s="24">
        <f t="shared" si="21"/>
        <v>0.0416507005647835</v>
      </c>
      <c r="Y51" s="24">
        <f t="shared" si="22"/>
        <v>0.333205604518268</v>
      </c>
      <c r="Z51" s="24">
        <f t="shared" si="23"/>
        <v>1.3744731186378556</v>
      </c>
      <c r="AA51" s="24">
        <f t="shared" si="24"/>
        <v>0.6445043478067167</v>
      </c>
      <c r="AB51" s="24">
        <f t="shared" si="25"/>
        <v>0.6445043478067167</v>
      </c>
      <c r="AC51" s="24">
        <f t="shared" si="26"/>
        <v>0.053708695650559725</v>
      </c>
      <c r="AD51" s="24">
        <f t="shared" si="27"/>
        <v>0.4296695652044778</v>
      </c>
      <c r="AE51" s="24">
        <f t="shared" si="28"/>
        <v>1.7723869564684709</v>
      </c>
    </row>
    <row r="52" spans="1:31" ht="12.75">
      <c r="A52" s="1">
        <v>5</v>
      </c>
      <c r="B52" s="1" t="s">
        <v>9</v>
      </c>
      <c r="C52" s="1">
        <v>2</v>
      </c>
      <c r="D52" s="1">
        <v>71</v>
      </c>
      <c r="E52" s="1">
        <v>117</v>
      </c>
      <c r="F52" s="1">
        <v>8</v>
      </c>
      <c r="G52" s="1">
        <v>68</v>
      </c>
      <c r="H52" s="2" t="s">
        <v>32</v>
      </c>
      <c r="I52" s="9">
        <v>6.9312</v>
      </c>
      <c r="J52" s="9">
        <v>8.8085</v>
      </c>
      <c r="K52" s="9">
        <v>7.5254</v>
      </c>
      <c r="L52" s="10">
        <f t="shared" si="8"/>
        <v>68.3481595909018</v>
      </c>
      <c r="M52" s="10"/>
      <c r="O52" s="1">
        <v>12.36</v>
      </c>
      <c r="P52" s="3">
        <f t="shared" si="9"/>
        <v>14.237300000000001</v>
      </c>
      <c r="Q52" s="21">
        <f t="shared" si="14"/>
        <v>36178.34394904458</v>
      </c>
      <c r="R52" s="21">
        <f t="shared" si="15"/>
        <v>59617.83439490445</v>
      </c>
      <c r="S52" s="21">
        <f t="shared" si="16"/>
        <v>4076.4331210191076</v>
      </c>
      <c r="T52" s="21">
        <f t="shared" si="17"/>
        <v>34649.68152866242</v>
      </c>
      <c r="U52" s="21">
        <f t="shared" si="18"/>
        <v>134522.29299363054</v>
      </c>
      <c r="V52" s="24">
        <f t="shared" si="19"/>
        <v>4.986900606154256</v>
      </c>
      <c r="W52" s="24">
        <f t="shared" si="20"/>
        <v>8.217850294648564</v>
      </c>
      <c r="X52" s="24">
        <f t="shared" si="21"/>
        <v>0.5619042936511838</v>
      </c>
      <c r="Y52" s="24">
        <f t="shared" si="22"/>
        <v>4.776186496035063</v>
      </c>
      <c r="Z52" s="24">
        <f t="shared" si="23"/>
        <v>18.542841690489066</v>
      </c>
      <c r="AA52" s="24">
        <f t="shared" si="24"/>
        <v>7.29632024622663</v>
      </c>
      <c r="AB52" s="24">
        <f t="shared" si="25"/>
        <v>12.023513645190361</v>
      </c>
      <c r="AC52" s="24">
        <f t="shared" si="26"/>
        <v>0.8221205911241273</v>
      </c>
      <c r="AD52" s="24">
        <f t="shared" si="27"/>
        <v>6.988025024555082</v>
      </c>
      <c r="AE52" s="24">
        <f t="shared" si="28"/>
        <v>27.1299795070962</v>
      </c>
    </row>
    <row r="53" spans="1:31" ht="12.75">
      <c r="A53" s="1">
        <v>5</v>
      </c>
      <c r="B53" s="1" t="s">
        <v>9</v>
      </c>
      <c r="C53" s="1">
        <v>3</v>
      </c>
      <c r="D53" s="1">
        <v>121</v>
      </c>
      <c r="E53" s="1">
        <v>217</v>
      </c>
      <c r="F53" s="1">
        <v>35</v>
      </c>
      <c r="G53" s="1">
        <v>224</v>
      </c>
      <c r="H53" s="2" t="s">
        <v>33</v>
      </c>
      <c r="I53" s="9">
        <v>9.0962</v>
      </c>
      <c r="J53" s="9">
        <v>12.1844</v>
      </c>
      <c r="K53" s="9">
        <v>11.0684</v>
      </c>
      <c r="L53" s="10">
        <f t="shared" si="8"/>
        <v>36.137555857781216</v>
      </c>
      <c r="M53" s="10"/>
      <c r="O53" s="1">
        <v>15.23</v>
      </c>
      <c r="P53" s="3">
        <f t="shared" si="9"/>
        <v>18.3182</v>
      </c>
      <c r="Q53" s="21">
        <f t="shared" si="14"/>
        <v>61656.050955414</v>
      </c>
      <c r="R53" s="21">
        <f t="shared" si="15"/>
        <v>110573.2484076433</v>
      </c>
      <c r="S53" s="21">
        <f t="shared" si="16"/>
        <v>17834.394904458597</v>
      </c>
      <c r="T53" s="21">
        <f t="shared" si="17"/>
        <v>114140.12738853501</v>
      </c>
      <c r="U53" s="21">
        <f t="shared" si="18"/>
        <v>304203.8216560509</v>
      </c>
      <c r="V53" s="24">
        <f t="shared" si="19"/>
        <v>6.6054525007915625</v>
      </c>
      <c r="W53" s="24">
        <f t="shared" si="20"/>
        <v>11.846142088196437</v>
      </c>
      <c r="X53" s="24">
        <f t="shared" si="21"/>
        <v>1.910668078741361</v>
      </c>
      <c r="Y53" s="24">
        <f t="shared" si="22"/>
        <v>12.22827570394471</v>
      </c>
      <c r="Z53" s="24">
        <f t="shared" si="23"/>
        <v>32.59053837167407</v>
      </c>
      <c r="AA53" s="24">
        <f t="shared" si="24"/>
        <v>18.278636570738808</v>
      </c>
      <c r="AB53" s="24">
        <f t="shared" si="25"/>
        <v>32.78069533760596</v>
      </c>
      <c r="AC53" s="24">
        <f t="shared" si="26"/>
        <v>5.287208925420317</v>
      </c>
      <c r="AD53" s="24">
        <f t="shared" si="27"/>
        <v>33.83813712269003</v>
      </c>
      <c r="AE53" s="24">
        <f t="shared" si="28"/>
        <v>90.18467795645512</v>
      </c>
    </row>
    <row r="54" spans="1:31" s="3" customFormat="1" ht="12.75">
      <c r="A54" s="3">
        <v>5</v>
      </c>
      <c r="B54" s="3" t="s">
        <v>10</v>
      </c>
      <c r="C54" s="3">
        <v>1</v>
      </c>
      <c r="D54" s="3">
        <v>56</v>
      </c>
      <c r="E54" s="3">
        <v>226</v>
      </c>
      <c r="F54" s="3">
        <v>38</v>
      </c>
      <c r="G54" s="3">
        <v>134</v>
      </c>
      <c r="H54" s="4" t="s">
        <v>146</v>
      </c>
      <c r="I54" s="9">
        <v>7.9185</v>
      </c>
      <c r="J54" s="9">
        <v>9.9397</v>
      </c>
      <c r="K54" s="9">
        <v>8.667</v>
      </c>
      <c r="L54" s="10">
        <f t="shared" si="8"/>
        <v>62.967544033247584</v>
      </c>
      <c r="M54" s="10">
        <f>AVERAGE(L54:L56)</f>
        <v>53.83109459941835</v>
      </c>
      <c r="O54" s="3">
        <v>8.71</v>
      </c>
      <c r="P54" s="3">
        <f t="shared" si="9"/>
        <v>10.731200000000001</v>
      </c>
      <c r="Q54" s="21">
        <f t="shared" si="14"/>
        <v>28535.031847133752</v>
      </c>
      <c r="R54" s="21">
        <f t="shared" si="15"/>
        <v>115159.2356687898</v>
      </c>
      <c r="S54" s="21">
        <f t="shared" si="16"/>
        <v>19363.05732484076</v>
      </c>
      <c r="T54" s="21">
        <f t="shared" si="17"/>
        <v>68280.25477707005</v>
      </c>
      <c r="U54" s="21">
        <f t="shared" si="18"/>
        <v>231337.57961783433</v>
      </c>
      <c r="V54" s="24">
        <f t="shared" si="19"/>
        <v>5.218428507529446</v>
      </c>
      <c r="W54" s="24">
        <f t="shared" si="20"/>
        <v>21.060086476815265</v>
      </c>
      <c r="X54" s="24">
        <f t="shared" si="21"/>
        <v>3.5410764872521243</v>
      </c>
      <c r="Y54" s="24">
        <f t="shared" si="22"/>
        <v>12.486953928731175</v>
      </c>
      <c r="Z54" s="24">
        <f t="shared" si="23"/>
        <v>42.306545400328005</v>
      </c>
      <c r="AA54" s="24">
        <f t="shared" si="24"/>
        <v>8.287489352886395</v>
      </c>
      <c r="AB54" s="24">
        <f t="shared" si="25"/>
        <v>33.44593917414867</v>
      </c>
      <c r="AC54" s="24">
        <f t="shared" si="26"/>
        <v>5.623653489458626</v>
      </c>
      <c r="AD54" s="24">
        <f t="shared" si="27"/>
        <v>19.830778094406732</v>
      </c>
      <c r="AE54" s="24">
        <f t="shared" si="28"/>
        <v>67.18786011090043</v>
      </c>
    </row>
    <row r="55" spans="1:31" ht="12.75">
      <c r="A55" s="1">
        <v>5</v>
      </c>
      <c r="B55" s="1" t="s">
        <v>10</v>
      </c>
      <c r="C55" s="1">
        <v>2</v>
      </c>
      <c r="D55" s="1">
        <v>39</v>
      </c>
      <c r="E55" s="1">
        <v>86</v>
      </c>
      <c r="F55" s="1">
        <v>21</v>
      </c>
      <c r="G55" s="1">
        <v>125</v>
      </c>
      <c r="H55" s="2" t="s">
        <v>34</v>
      </c>
      <c r="I55" s="9">
        <v>8.0574</v>
      </c>
      <c r="J55" s="9">
        <v>10.7518</v>
      </c>
      <c r="K55" s="9">
        <v>9.1076</v>
      </c>
      <c r="L55" s="10">
        <f t="shared" si="8"/>
        <v>61.02286223277908</v>
      </c>
      <c r="M55" s="10"/>
      <c r="O55" s="1">
        <v>19.71</v>
      </c>
      <c r="P55" s="3">
        <f t="shared" si="9"/>
        <v>22.404400000000003</v>
      </c>
      <c r="Q55" s="21">
        <f t="shared" si="14"/>
        <v>19872.61146496815</v>
      </c>
      <c r="R55" s="21">
        <f t="shared" si="15"/>
        <v>43821.65605095541</v>
      </c>
      <c r="S55" s="21">
        <f t="shared" si="16"/>
        <v>10700.636942675157</v>
      </c>
      <c r="T55" s="21">
        <f t="shared" si="17"/>
        <v>63694.26751592356</v>
      </c>
      <c r="U55" s="21">
        <f t="shared" si="18"/>
        <v>138089.1719745223</v>
      </c>
      <c r="V55" s="24">
        <f t="shared" si="19"/>
        <v>1.7407294995625857</v>
      </c>
      <c r="W55" s="24">
        <f t="shared" si="20"/>
        <v>3.8385317169841633</v>
      </c>
      <c r="X55" s="24">
        <f t="shared" si="21"/>
        <v>0.9373158843798538</v>
      </c>
      <c r="Y55" s="24">
        <f t="shared" si="22"/>
        <v>5.579261216546749</v>
      </c>
      <c r="Z55" s="24">
        <f t="shared" si="23"/>
        <v>12.095838317473351</v>
      </c>
      <c r="AA55" s="24">
        <f t="shared" si="24"/>
        <v>2.852585794685216</v>
      </c>
      <c r="AB55" s="24">
        <f t="shared" si="25"/>
        <v>6.290317393408425</v>
      </c>
      <c r="AC55" s="24">
        <f t="shared" si="26"/>
        <v>1.5360077355997317</v>
      </c>
      <c r="AD55" s="24">
        <f t="shared" si="27"/>
        <v>9.14290318809364</v>
      </c>
      <c r="AE55" s="24">
        <f t="shared" si="28"/>
        <v>19.821814111787013</v>
      </c>
    </row>
    <row r="56" spans="1:31" ht="12.75">
      <c r="A56" s="1">
        <v>5</v>
      </c>
      <c r="B56" s="1" t="s">
        <v>10</v>
      </c>
      <c r="C56" s="1">
        <v>3</v>
      </c>
      <c r="D56" s="1">
        <v>75</v>
      </c>
      <c r="E56" s="1">
        <v>240</v>
      </c>
      <c r="F56" s="1">
        <v>61</v>
      </c>
      <c r="G56" s="1">
        <v>252</v>
      </c>
      <c r="H56" s="2" t="s">
        <v>35</v>
      </c>
      <c r="I56" s="9">
        <v>8.5807</v>
      </c>
      <c r="J56" s="9">
        <v>12.0559</v>
      </c>
      <c r="K56" s="9">
        <v>10.7526</v>
      </c>
      <c r="L56" s="10">
        <f t="shared" si="8"/>
        <v>37.502877532228375</v>
      </c>
      <c r="M56" s="10"/>
      <c r="O56" s="1">
        <v>15.79</v>
      </c>
      <c r="P56" s="3">
        <f t="shared" si="9"/>
        <v>19.2652</v>
      </c>
      <c r="Q56" s="21">
        <f t="shared" si="14"/>
        <v>38216.56050955413</v>
      </c>
      <c r="R56" s="21">
        <f t="shared" si="15"/>
        <v>122292.99363057323</v>
      </c>
      <c r="S56" s="21">
        <f t="shared" si="16"/>
        <v>31082.802547770698</v>
      </c>
      <c r="T56" s="21">
        <f t="shared" si="17"/>
        <v>128407.64331210189</v>
      </c>
      <c r="U56" s="21">
        <f t="shared" si="18"/>
        <v>319999.99999999994</v>
      </c>
      <c r="V56" s="24">
        <f t="shared" si="19"/>
        <v>3.893029919232606</v>
      </c>
      <c r="W56" s="24">
        <f t="shared" si="20"/>
        <v>12.457695741544338</v>
      </c>
      <c r="X56" s="24">
        <f t="shared" si="21"/>
        <v>3.1663310009758527</v>
      </c>
      <c r="Y56" s="24">
        <f t="shared" si="22"/>
        <v>13.080580528621557</v>
      </c>
      <c r="Z56" s="24">
        <f t="shared" si="23"/>
        <v>32.59763719037436</v>
      </c>
      <c r="AA56" s="24">
        <f t="shared" si="24"/>
        <v>10.380616569720823</v>
      </c>
      <c r="AB56" s="24">
        <f t="shared" si="25"/>
        <v>33.21797302310663</v>
      </c>
      <c r="AC56" s="24">
        <f t="shared" si="26"/>
        <v>8.442901476706268</v>
      </c>
      <c r="AD56" s="24">
        <f t="shared" si="27"/>
        <v>34.878871674261966</v>
      </c>
      <c r="AE56" s="24">
        <f t="shared" si="28"/>
        <v>86.92036274379569</v>
      </c>
    </row>
    <row r="57" spans="1:31" s="3" customFormat="1" ht="12.75">
      <c r="A57" s="3">
        <v>5</v>
      </c>
      <c r="B57" s="3" t="s">
        <v>11</v>
      </c>
      <c r="C57" s="3">
        <v>1</v>
      </c>
      <c r="D57" s="3">
        <v>20</v>
      </c>
      <c r="E57" s="3">
        <v>67</v>
      </c>
      <c r="F57" s="3">
        <v>7</v>
      </c>
      <c r="G57" s="3">
        <v>53</v>
      </c>
      <c r="H57" s="4" t="s">
        <v>147</v>
      </c>
      <c r="I57" s="9">
        <v>7.0951</v>
      </c>
      <c r="J57" s="9">
        <v>9.3969</v>
      </c>
      <c r="K57" s="9">
        <v>7.7474</v>
      </c>
      <c r="L57" s="10">
        <f t="shared" si="8"/>
        <v>71.66130854114175</v>
      </c>
      <c r="M57" s="10">
        <f>AVERAGE(L57:L59)</f>
        <v>67.78825118948465</v>
      </c>
      <c r="O57" s="3">
        <v>12.15</v>
      </c>
      <c r="P57" s="3">
        <f t="shared" si="9"/>
        <v>14.4518</v>
      </c>
      <c r="Q57" s="21">
        <f t="shared" si="14"/>
        <v>10191.08280254777</v>
      </c>
      <c r="R57" s="21">
        <f t="shared" si="15"/>
        <v>34140.127388535024</v>
      </c>
      <c r="S57" s="21">
        <f t="shared" si="16"/>
        <v>3566.878980891719</v>
      </c>
      <c r="T57" s="21">
        <f t="shared" si="17"/>
        <v>27006.36942675159</v>
      </c>
      <c r="U57" s="21">
        <f t="shared" si="18"/>
        <v>74904.45859872611</v>
      </c>
      <c r="V57" s="24">
        <f t="shared" si="19"/>
        <v>1.3839106547281308</v>
      </c>
      <c r="W57" s="24">
        <f t="shared" si="20"/>
        <v>4.6361006933392375</v>
      </c>
      <c r="X57" s="24">
        <f t="shared" si="21"/>
        <v>0.48436872915484575</v>
      </c>
      <c r="Y57" s="24">
        <f t="shared" si="22"/>
        <v>3.6673632350295464</v>
      </c>
      <c r="Z57" s="24">
        <f t="shared" si="23"/>
        <v>10.17174331225176</v>
      </c>
      <c r="AA57" s="24">
        <f t="shared" si="24"/>
        <v>1.9311825068525066</v>
      </c>
      <c r="AB57" s="24">
        <f t="shared" si="25"/>
        <v>6.469461397955897</v>
      </c>
      <c r="AC57" s="24">
        <f t="shared" si="26"/>
        <v>0.6759138773983773</v>
      </c>
      <c r="AD57" s="24">
        <f t="shared" si="27"/>
        <v>5.1176336431591425</v>
      </c>
      <c r="AE57" s="24">
        <f t="shared" si="28"/>
        <v>14.194191425365922</v>
      </c>
    </row>
    <row r="58" spans="1:31" ht="12.75">
      <c r="A58" s="1">
        <v>5</v>
      </c>
      <c r="B58" s="1" t="s">
        <v>11</v>
      </c>
      <c r="C58" s="1">
        <v>2</v>
      </c>
      <c r="D58" s="1">
        <v>19</v>
      </c>
      <c r="E58" s="1">
        <v>9</v>
      </c>
      <c r="F58" s="1">
        <v>2</v>
      </c>
      <c r="G58" s="1">
        <v>9</v>
      </c>
      <c r="H58" s="2" t="s">
        <v>36</v>
      </c>
      <c r="I58" s="9">
        <v>8.0765</v>
      </c>
      <c r="J58" s="9">
        <v>9.9531</v>
      </c>
      <c r="K58" s="9">
        <v>8.3534</v>
      </c>
      <c r="L58" s="10">
        <f t="shared" si="8"/>
        <v>85.24459128210587</v>
      </c>
      <c r="M58" s="10"/>
      <c r="O58" s="1">
        <v>6.81</v>
      </c>
      <c r="P58" s="3">
        <f t="shared" si="9"/>
        <v>8.686599999999999</v>
      </c>
      <c r="Q58" s="21">
        <f t="shared" si="14"/>
        <v>9681.52866242038</v>
      </c>
      <c r="R58" s="21">
        <f t="shared" si="15"/>
        <v>4585.987261146496</v>
      </c>
      <c r="S58" s="21">
        <f t="shared" si="16"/>
        <v>1019.1082802547769</v>
      </c>
      <c r="T58" s="21">
        <f t="shared" si="17"/>
        <v>4585.987261146496</v>
      </c>
      <c r="U58" s="21">
        <f t="shared" si="18"/>
        <v>19872.611464968148</v>
      </c>
      <c r="V58" s="24">
        <f t="shared" si="19"/>
        <v>2.1872769553104785</v>
      </c>
      <c r="W58" s="24">
        <f t="shared" si="20"/>
        <v>1.0360785577786478</v>
      </c>
      <c r="X58" s="24">
        <f t="shared" si="21"/>
        <v>0.23023967950636617</v>
      </c>
      <c r="Y58" s="24">
        <f t="shared" si="22"/>
        <v>1.0360785577786478</v>
      </c>
      <c r="Z58" s="24">
        <f t="shared" si="23"/>
        <v>4.48967375037414</v>
      </c>
      <c r="AA58" s="24">
        <f t="shared" si="24"/>
        <v>2.5658835621276785</v>
      </c>
      <c r="AB58" s="24">
        <f t="shared" si="25"/>
        <v>1.2154185294289004</v>
      </c>
      <c r="AC58" s="24">
        <f t="shared" si="26"/>
        <v>0.2700930065397556</v>
      </c>
      <c r="AD58" s="24">
        <f t="shared" si="27"/>
        <v>1.2154185294289004</v>
      </c>
      <c r="AE58" s="24">
        <f t="shared" si="28"/>
        <v>5.266813627525235</v>
      </c>
    </row>
    <row r="59" spans="1:31" ht="12.75">
      <c r="A59" s="1">
        <v>5</v>
      </c>
      <c r="B59" s="1" t="s">
        <v>11</v>
      </c>
      <c r="C59" s="1">
        <v>3</v>
      </c>
      <c r="D59" s="1">
        <v>2</v>
      </c>
      <c r="E59" s="1">
        <v>20</v>
      </c>
      <c r="F59" s="1">
        <v>0</v>
      </c>
      <c r="G59" s="1">
        <v>29</v>
      </c>
      <c r="H59" s="2" t="s">
        <v>37</v>
      </c>
      <c r="I59" s="9">
        <v>7.8781</v>
      </c>
      <c r="J59" s="9">
        <v>10.7204</v>
      </c>
      <c r="K59" s="9">
        <v>9.3999</v>
      </c>
      <c r="L59" s="10">
        <f t="shared" si="8"/>
        <v>46.45885374520631</v>
      </c>
      <c r="M59" s="10"/>
      <c r="O59" s="1">
        <v>21.16</v>
      </c>
      <c r="P59" s="3">
        <f t="shared" si="9"/>
        <v>24.002299999999998</v>
      </c>
      <c r="Q59" s="21">
        <f t="shared" si="14"/>
        <v>1019.1082802547769</v>
      </c>
      <c r="R59" s="21">
        <f t="shared" si="15"/>
        <v>10191.08280254777</v>
      </c>
      <c r="S59" s="21">
        <f t="shared" si="16"/>
        <v>0</v>
      </c>
      <c r="T59" s="21">
        <f t="shared" si="17"/>
        <v>14777.070063694266</v>
      </c>
      <c r="U59" s="21">
        <f t="shared" si="18"/>
        <v>25987.261146496814</v>
      </c>
      <c r="V59" s="24">
        <f t="shared" si="19"/>
        <v>0.08332534798748453</v>
      </c>
      <c r="W59" s="24">
        <f t="shared" si="20"/>
        <v>0.8332534798748454</v>
      </c>
      <c r="X59" s="24">
        <f t="shared" si="21"/>
        <v>0</v>
      </c>
      <c r="Y59" s="24">
        <f t="shared" si="22"/>
        <v>1.2082175458185258</v>
      </c>
      <c r="Z59" s="24">
        <f t="shared" si="23"/>
        <v>2.124796373680856</v>
      </c>
      <c r="AA59" s="24">
        <f t="shared" si="24"/>
        <v>0.1793530000642389</v>
      </c>
      <c r="AB59" s="24">
        <f t="shared" si="25"/>
        <v>1.793530000642389</v>
      </c>
      <c r="AC59" s="24">
        <f t="shared" si="26"/>
        <v>0</v>
      </c>
      <c r="AD59" s="24">
        <f t="shared" si="27"/>
        <v>2.600618500931464</v>
      </c>
      <c r="AE59" s="24">
        <f t="shared" si="28"/>
        <v>4.573501501638092</v>
      </c>
    </row>
    <row r="60" spans="1:31" s="3" customFormat="1" ht="12.75">
      <c r="A60" s="3">
        <v>5</v>
      </c>
      <c r="B60" s="3" t="s">
        <v>12</v>
      </c>
      <c r="C60" s="3">
        <v>1</v>
      </c>
      <c r="D60" s="3">
        <v>23</v>
      </c>
      <c r="E60" s="3">
        <v>20</v>
      </c>
      <c r="F60" s="3">
        <v>2</v>
      </c>
      <c r="G60" s="3">
        <v>71</v>
      </c>
      <c r="H60" s="4" t="s">
        <v>148</v>
      </c>
      <c r="I60" s="9">
        <v>8.2546</v>
      </c>
      <c r="J60" s="9">
        <v>10.7816</v>
      </c>
      <c r="K60" s="9">
        <v>9.0302</v>
      </c>
      <c r="L60" s="10">
        <f t="shared" si="8"/>
        <v>69.30747922437669</v>
      </c>
      <c r="M60" s="10">
        <f>AVERAGE(L60:L62)</f>
        <v>69.12458203679967</v>
      </c>
      <c r="O60" s="3">
        <v>20.54</v>
      </c>
      <c r="P60" s="3">
        <f t="shared" si="9"/>
        <v>23.067</v>
      </c>
      <c r="Q60" s="21">
        <f t="shared" si="14"/>
        <v>11719.745222929934</v>
      </c>
      <c r="R60" s="21">
        <f t="shared" si="15"/>
        <v>10191.08280254777</v>
      </c>
      <c r="S60" s="21">
        <f t="shared" si="16"/>
        <v>1019.1082802547769</v>
      </c>
      <c r="T60" s="21">
        <f t="shared" si="17"/>
        <v>36178.34394904458</v>
      </c>
      <c r="U60" s="21">
        <f t="shared" si="18"/>
        <v>59108.28025477706</v>
      </c>
      <c r="V60" s="24">
        <f t="shared" si="19"/>
        <v>0.9970954176962761</v>
      </c>
      <c r="W60" s="24">
        <f t="shared" si="20"/>
        <v>0.8670394936489357</v>
      </c>
      <c r="X60" s="24">
        <f t="shared" si="21"/>
        <v>0.08670394936489358</v>
      </c>
      <c r="Y60" s="24">
        <f t="shared" si="22"/>
        <v>3.0779902024537216</v>
      </c>
      <c r="Z60" s="24">
        <f t="shared" si="23"/>
        <v>5.028829063163827</v>
      </c>
      <c r="AA60" s="24">
        <f t="shared" si="24"/>
        <v>1.4386548592660107</v>
      </c>
      <c r="AB60" s="24">
        <f t="shared" si="25"/>
        <v>1.251004225448705</v>
      </c>
      <c r="AC60" s="24">
        <f t="shared" si="26"/>
        <v>0.1251004225448705</v>
      </c>
      <c r="AD60" s="24">
        <f t="shared" si="27"/>
        <v>4.441065000342903</v>
      </c>
      <c r="AE60" s="24">
        <f t="shared" si="28"/>
        <v>7.2558245076024885</v>
      </c>
    </row>
    <row r="61" spans="1:31" ht="12.75">
      <c r="A61" s="1">
        <v>5</v>
      </c>
      <c r="B61" s="1" t="s">
        <v>12</v>
      </c>
      <c r="C61" s="1">
        <v>2</v>
      </c>
      <c r="D61" s="1">
        <v>137</v>
      </c>
      <c r="E61" s="1">
        <v>407</v>
      </c>
      <c r="F61" s="1">
        <v>58</v>
      </c>
      <c r="G61" s="1">
        <v>98</v>
      </c>
      <c r="H61" s="2" t="s">
        <v>39</v>
      </c>
      <c r="I61" s="9">
        <v>8.6112</v>
      </c>
      <c r="J61" s="9">
        <v>11.0713</v>
      </c>
      <c r="K61" s="9">
        <v>9.6856</v>
      </c>
      <c r="L61" s="10">
        <f t="shared" si="8"/>
        <v>56.32697857810656</v>
      </c>
      <c r="M61" s="10"/>
      <c r="O61" s="1">
        <v>13.48</v>
      </c>
      <c r="P61" s="3">
        <f t="shared" si="9"/>
        <v>15.940100000000001</v>
      </c>
      <c r="Q61" s="21">
        <f t="shared" si="14"/>
        <v>69808.91719745222</v>
      </c>
      <c r="R61" s="21">
        <f t="shared" si="15"/>
        <v>207388.5350318471</v>
      </c>
      <c r="S61" s="21">
        <f t="shared" si="16"/>
        <v>29554.14012738853</v>
      </c>
      <c r="T61" s="21">
        <f t="shared" si="17"/>
        <v>49936.30573248407</v>
      </c>
      <c r="U61" s="21">
        <f t="shared" si="18"/>
        <v>356687.89808917197</v>
      </c>
      <c r="V61" s="24">
        <f t="shared" si="19"/>
        <v>8.594676319471018</v>
      </c>
      <c r="W61" s="24">
        <f t="shared" si="20"/>
        <v>25.533089503829963</v>
      </c>
      <c r="X61" s="24">
        <f t="shared" si="21"/>
        <v>3.638622091454884</v>
      </c>
      <c r="Y61" s="24">
        <f t="shared" si="22"/>
        <v>6.1480166372858385</v>
      </c>
      <c r="Z61" s="24">
        <f t="shared" si="23"/>
        <v>43.9144045520417</v>
      </c>
      <c r="AA61" s="24">
        <f t="shared" si="24"/>
        <v>15.258543128765725</v>
      </c>
      <c r="AB61" s="24">
        <f t="shared" si="25"/>
        <v>45.3301244774281</v>
      </c>
      <c r="AC61" s="24">
        <f t="shared" si="26"/>
        <v>6.459821178601548</v>
      </c>
      <c r="AD61" s="24">
        <f t="shared" si="27"/>
        <v>10.91487026729227</v>
      </c>
      <c r="AE61" s="24">
        <f t="shared" si="28"/>
        <v>77.96335905208764</v>
      </c>
    </row>
    <row r="62" spans="1:31" ht="12.75">
      <c r="A62" s="1">
        <v>5</v>
      </c>
      <c r="B62" s="1" t="s">
        <v>12</v>
      </c>
      <c r="C62" s="1">
        <v>3</v>
      </c>
      <c r="D62" s="1">
        <v>39</v>
      </c>
      <c r="E62" s="1">
        <v>47</v>
      </c>
      <c r="F62" s="1">
        <v>10</v>
      </c>
      <c r="G62" s="1">
        <v>73</v>
      </c>
      <c r="H62" s="2" t="s">
        <v>38</v>
      </c>
      <c r="I62" s="9">
        <v>9.6477</v>
      </c>
      <c r="J62" s="9">
        <v>12.4017</v>
      </c>
      <c r="K62" s="9">
        <v>10.1506</v>
      </c>
      <c r="L62" s="10">
        <f t="shared" si="8"/>
        <v>81.73928830791574</v>
      </c>
      <c r="M62" s="10"/>
      <c r="O62" s="1">
        <v>18.74</v>
      </c>
      <c r="P62" s="3">
        <f t="shared" si="9"/>
        <v>21.494</v>
      </c>
      <c r="Q62" s="21">
        <f t="shared" si="14"/>
        <v>19872.61146496815</v>
      </c>
      <c r="R62" s="21">
        <f t="shared" si="15"/>
        <v>23949.044585987256</v>
      </c>
      <c r="S62" s="21">
        <f t="shared" si="16"/>
        <v>5095.541401273885</v>
      </c>
      <c r="T62" s="21">
        <f t="shared" si="17"/>
        <v>37197.45222929936</v>
      </c>
      <c r="U62" s="21">
        <f t="shared" si="18"/>
        <v>86114.64968152865</v>
      </c>
      <c r="V62" s="24">
        <f t="shared" si="19"/>
        <v>1.8144598492602586</v>
      </c>
      <c r="W62" s="24">
        <f t="shared" si="20"/>
        <v>2.186656741416209</v>
      </c>
      <c r="X62" s="24">
        <f t="shared" si="21"/>
        <v>0.46524611519493814</v>
      </c>
      <c r="Y62" s="24">
        <f t="shared" si="22"/>
        <v>3.3962966409230484</v>
      </c>
      <c r="Z62" s="24">
        <f t="shared" si="23"/>
        <v>7.862659346794454</v>
      </c>
      <c r="AA62" s="24">
        <f t="shared" si="24"/>
        <v>2.2198136132836184</v>
      </c>
      <c r="AB62" s="24">
        <f t="shared" si="25"/>
        <v>2.6751599954956427</v>
      </c>
      <c r="AC62" s="24">
        <f t="shared" si="26"/>
        <v>0.5691829777650304</v>
      </c>
      <c r="AD62" s="24">
        <f t="shared" si="27"/>
        <v>4.155035737684721</v>
      </c>
      <c r="AE62" s="24">
        <f t="shared" si="28"/>
        <v>9.619192324229012</v>
      </c>
    </row>
    <row r="64" ht="12.75">
      <c r="B64" s="12" t="s">
        <v>165</v>
      </c>
    </row>
    <row r="65" spans="1:12" ht="12.75">
      <c r="A65" s="1" t="s">
        <v>263</v>
      </c>
      <c r="B65" s="1" t="s">
        <v>264</v>
      </c>
      <c r="L65" s="11">
        <f>AVERAGE(L3:L14)</f>
        <v>54.8439648788439</v>
      </c>
    </row>
    <row r="66" spans="1:12" ht="12.75">
      <c r="A66" s="1" t="s">
        <v>265</v>
      </c>
      <c r="L66" s="11">
        <f>AVERAGE(L15:L26)</f>
        <v>68.71859077291678</v>
      </c>
    </row>
    <row r="67" spans="1:12" ht="12.75">
      <c r="A67" s="1" t="s">
        <v>266</v>
      </c>
      <c r="L67" s="11">
        <f>AVERAGE(L27:L38)</f>
        <v>59.76982611026521</v>
      </c>
    </row>
    <row r="68" spans="1:12" ht="12.75">
      <c r="A68" s="1" t="s">
        <v>267</v>
      </c>
      <c r="L68" s="11">
        <f>AVERAGE(L39:L50)</f>
        <v>56.380573803859086</v>
      </c>
    </row>
    <row r="69" spans="1:12" ht="12.75">
      <c r="A69" s="1" t="s">
        <v>268</v>
      </c>
      <c r="L69" s="11">
        <f>AVERAGE(L51:L62)</f>
        <v>62.855563947010914</v>
      </c>
    </row>
  </sheetData>
  <mergeCells count="5">
    <mergeCell ref="J1:J2"/>
    <mergeCell ref="K1:K2"/>
    <mergeCell ref="L1:L2"/>
    <mergeCell ref="A1:H1"/>
    <mergeCell ref="I1:I2"/>
  </mergeCells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9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E30" activeCellId="4" sqref="AE6:AE8 AE12:AE14 AE18:AE20 AE24:AE26 AE30:AE32"/>
    </sheetView>
  </sheetViews>
  <sheetFormatPr defaultColWidth="9.140625" defaultRowHeight="12.75"/>
  <cols>
    <col min="1" max="1" width="7.00390625" style="1" customWidth="1"/>
    <col min="2" max="2" width="9.140625" style="1" customWidth="1"/>
    <col min="3" max="3" width="5.140625" style="1" customWidth="1"/>
    <col min="4" max="4" width="10.8515625" style="1" customWidth="1"/>
    <col min="5" max="7" width="9.140625" style="1" customWidth="1"/>
    <col min="8" max="8" width="20.140625" style="2" customWidth="1"/>
    <col min="9" max="9" width="9.140625" style="6" customWidth="1"/>
    <col min="10" max="10" width="11.28125" style="6" customWidth="1"/>
    <col min="11" max="11" width="9.140625" style="6" customWidth="1"/>
    <col min="12" max="12" width="9.140625" style="11" customWidth="1"/>
    <col min="13" max="13" width="10.140625" style="11" customWidth="1"/>
    <col min="14" max="16384" width="9.140625" style="1" customWidth="1"/>
  </cols>
  <sheetData>
    <row r="1" spans="1:31" ht="12.75">
      <c r="A1" s="52" t="s">
        <v>270</v>
      </c>
      <c r="B1" s="52"/>
      <c r="C1" s="52"/>
      <c r="D1" s="52"/>
      <c r="E1" s="52"/>
      <c r="F1" s="52"/>
      <c r="G1" s="52"/>
      <c r="H1" s="52"/>
      <c r="I1" s="54" t="s">
        <v>115</v>
      </c>
      <c r="J1" s="54" t="s">
        <v>122</v>
      </c>
      <c r="K1" s="54" t="s">
        <v>115</v>
      </c>
      <c r="L1" s="56" t="s">
        <v>123</v>
      </c>
      <c r="M1" s="10"/>
      <c r="N1" s="13"/>
      <c r="O1" s="13"/>
      <c r="P1" s="13" t="s">
        <v>188</v>
      </c>
      <c r="Q1" s="19"/>
      <c r="R1" s="19"/>
      <c r="S1" s="19"/>
      <c r="T1" s="19"/>
      <c r="U1" s="19"/>
      <c r="V1" s="22"/>
      <c r="W1" s="22"/>
      <c r="X1" s="22"/>
      <c r="Y1" s="22"/>
      <c r="Z1" s="22"/>
      <c r="AA1" s="22"/>
      <c r="AB1" s="22"/>
      <c r="AC1" s="22"/>
      <c r="AD1" s="23"/>
      <c r="AE1" s="23"/>
    </row>
    <row r="2" spans="1:37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55"/>
      <c r="J2" s="55"/>
      <c r="K2" s="55"/>
      <c r="L2" s="57"/>
      <c r="M2" s="25" t="s">
        <v>269</v>
      </c>
      <c r="N2" s="1" t="s">
        <v>300</v>
      </c>
      <c r="O2" s="14" t="s">
        <v>299</v>
      </c>
      <c r="P2" t="s">
        <v>189</v>
      </c>
      <c r="Q2" s="20" t="s">
        <v>248</v>
      </c>
      <c r="R2" s="20" t="s">
        <v>249</v>
      </c>
      <c r="S2" s="20" t="s">
        <v>250</v>
      </c>
      <c r="T2" s="20" t="s">
        <v>251</v>
      </c>
      <c r="U2" s="20" t="s">
        <v>252</v>
      </c>
      <c r="V2" s="23" t="s">
        <v>253</v>
      </c>
      <c r="W2" s="23" t="s">
        <v>254</v>
      </c>
      <c r="X2" s="23" t="s">
        <v>255</v>
      </c>
      <c r="Y2" s="23" t="s">
        <v>256</v>
      </c>
      <c r="Z2" s="23" t="s">
        <v>257</v>
      </c>
      <c r="AA2" s="23" t="s">
        <v>258</v>
      </c>
      <c r="AB2" s="23" t="s">
        <v>259</v>
      </c>
      <c r="AC2" s="23" t="s">
        <v>260</v>
      </c>
      <c r="AD2" s="23" t="s">
        <v>261</v>
      </c>
      <c r="AE2" s="23" t="s">
        <v>262</v>
      </c>
      <c r="AF2" s="6" t="s">
        <v>305</v>
      </c>
      <c r="AG2" s="6" t="s">
        <v>308</v>
      </c>
      <c r="AH2" s="6" t="s">
        <v>306</v>
      </c>
      <c r="AI2" s="6" t="s">
        <v>308</v>
      </c>
      <c r="AJ2" s="6" t="s">
        <v>307</v>
      </c>
      <c r="AK2" s="1" t="s">
        <v>308</v>
      </c>
    </row>
    <row r="3" spans="1:37" s="3" customFormat="1" ht="12.75">
      <c r="A3" s="3">
        <v>1</v>
      </c>
      <c r="B3" s="3" t="s">
        <v>9</v>
      </c>
      <c r="C3" s="3">
        <v>1</v>
      </c>
      <c r="D3" s="3">
        <v>74</v>
      </c>
      <c r="E3" s="3">
        <v>198</v>
      </c>
      <c r="F3" s="3">
        <v>13</v>
      </c>
      <c r="G3" s="3">
        <v>98</v>
      </c>
      <c r="H3" s="4" t="s">
        <v>271</v>
      </c>
      <c r="I3" s="9">
        <v>7.918</v>
      </c>
      <c r="J3" s="9">
        <v>8.7206</v>
      </c>
      <c r="K3" s="9">
        <v>8.4147</v>
      </c>
      <c r="L3" s="10">
        <f>100*(J3-K3)/(J3-I3)</f>
        <v>38.11363070022424</v>
      </c>
      <c r="M3" s="10">
        <f>AVERAGE(L3:L5)</f>
        <v>36.0488283966723</v>
      </c>
      <c r="N3" s="3">
        <v>7.03</v>
      </c>
      <c r="O3" s="3">
        <v>19.02</v>
      </c>
      <c r="P3" s="3">
        <f>(O3-N3)+(J3-I3)</f>
        <v>12.792599999999997</v>
      </c>
      <c r="Q3" s="21">
        <f aca="true" t="shared" si="0" ref="Q3:Q19">D3/((0.025*0.025)*3.14)</f>
        <v>37707.006369426745</v>
      </c>
      <c r="R3" s="21">
        <f aca="true" t="shared" si="1" ref="R3:R19">E3/((0.025*0.025)*3.14)</f>
        <v>100891.71974522292</v>
      </c>
      <c r="S3" s="21">
        <f aca="true" t="shared" si="2" ref="S3:S19">F3/((0.025*0.025)*3.14)</f>
        <v>6624.20382165605</v>
      </c>
      <c r="T3" s="21">
        <f aca="true" t="shared" si="3" ref="T3:T19">G3/((0.025*0.025)*3.14)</f>
        <v>49936.30573248407</v>
      </c>
      <c r="U3" s="21">
        <f aca="true" t="shared" si="4" ref="U3:U19">SUM(Q3:T3)</f>
        <v>195159.2356687898</v>
      </c>
      <c r="V3" s="24">
        <f>D3/$P3</f>
        <v>5.7845942185325905</v>
      </c>
      <c r="W3" s="24">
        <f aca="true" t="shared" si="5" ref="W3:W19">E3/$P3</f>
        <v>15.477698044181796</v>
      </c>
      <c r="X3" s="24">
        <f aca="true" t="shared" si="6" ref="X3:X19">F3/$P3</f>
        <v>1.01621249785032</v>
      </c>
      <c r="Y3" s="24">
        <f aca="true" t="shared" si="7" ref="Y3:Y19">G3/$P3</f>
        <v>7.660678829948566</v>
      </c>
      <c r="Z3" s="24">
        <f aca="true" t="shared" si="8" ref="Z3:Z19">SUM(V3:Y3)</f>
        <v>29.93918359051327</v>
      </c>
      <c r="AA3" s="24">
        <f aca="true" t="shared" si="9" ref="AA3:AA19">D3/($P3*($L3/100))</f>
        <v>15.177232166702389</v>
      </c>
      <c r="AB3" s="24">
        <f aca="true" t="shared" si="10" ref="AB3:AB19">E3/($P3*($L3/100))</f>
        <v>40.60935093252802</v>
      </c>
      <c r="AC3" s="24">
        <f aca="true" t="shared" si="11" ref="AC3:AC19">F3/($P3*($L3/100))</f>
        <v>2.6662705157720414</v>
      </c>
      <c r="AD3" s="24">
        <f aca="true" t="shared" si="12" ref="AD3:AD19">G3/($P3*($L3/100))</f>
        <v>20.099577734281542</v>
      </c>
      <c r="AE3" s="24">
        <f aca="true" t="shared" si="13" ref="AE3:AE19">SUM(AA3:AD3)</f>
        <v>78.55243134928399</v>
      </c>
      <c r="AF3" s="34">
        <f>AVERAGE(U3:U5)</f>
        <v>208917.1974522293</v>
      </c>
      <c r="AG3" s="34">
        <f>STDEV(U3:U5)/SQRT(3)</f>
        <v>8957.144372609506</v>
      </c>
      <c r="AH3" s="35">
        <f>AVERAGE(Z3:Z5)</f>
        <v>26.006045099687753</v>
      </c>
      <c r="AI3" s="35">
        <f>STDEV(Z3:Z5)/SQRT(3)</f>
        <v>5.842187127596833</v>
      </c>
      <c r="AJ3" s="35">
        <f>AVERAGE(AE3:AE5)</f>
        <v>70.65226245880423</v>
      </c>
      <c r="AK3" s="35">
        <f>STDEV(AE3:AE5)/SQRT(3)</f>
        <v>12.76573104136867</v>
      </c>
    </row>
    <row r="4" spans="1:37" ht="12.75">
      <c r="A4" s="1">
        <v>1</v>
      </c>
      <c r="B4" s="1" t="s">
        <v>9</v>
      </c>
      <c r="C4" s="1">
        <v>2</v>
      </c>
      <c r="D4" s="1">
        <v>119</v>
      </c>
      <c r="E4" s="1">
        <v>242</v>
      </c>
      <c r="F4" s="1">
        <v>33</v>
      </c>
      <c r="G4" s="1">
        <v>49</v>
      </c>
      <c r="H4" s="2" t="s">
        <v>273</v>
      </c>
      <c r="I4" s="9">
        <v>8.7833</v>
      </c>
      <c r="J4" s="9">
        <v>9.7018</v>
      </c>
      <c r="K4" s="9">
        <v>9.41</v>
      </c>
      <c r="L4" s="10">
        <f aca="true" t="shared" si="14" ref="L4:L32">100*(J4-K4)/(J4-I4)</f>
        <v>31.769188894937432</v>
      </c>
      <c r="M4" s="10"/>
      <c r="N4" s="1">
        <v>7.06</v>
      </c>
      <c r="O4" s="1">
        <v>36.67</v>
      </c>
      <c r="P4" s="3">
        <f aca="true" t="shared" si="15" ref="P4:P32">(O4-N4)+(J4-I4)</f>
        <v>30.5285</v>
      </c>
      <c r="Q4" s="21">
        <f t="shared" si="0"/>
        <v>60636.942675159225</v>
      </c>
      <c r="R4" s="21">
        <f t="shared" si="1"/>
        <v>123312.101910828</v>
      </c>
      <c r="S4" s="21">
        <f t="shared" si="2"/>
        <v>16815.286624203818</v>
      </c>
      <c r="T4" s="21">
        <f t="shared" si="3"/>
        <v>24968.152866242035</v>
      </c>
      <c r="U4" s="21">
        <f t="shared" si="4"/>
        <v>225732.4840764331</v>
      </c>
      <c r="V4" s="24">
        <f aca="true" t="shared" si="16" ref="V4:V19">D4/$P4</f>
        <v>3.897996953666246</v>
      </c>
      <c r="W4" s="24">
        <f t="shared" si="5"/>
        <v>7.927019015018753</v>
      </c>
      <c r="X4" s="24">
        <f t="shared" si="6"/>
        <v>1.080957138411648</v>
      </c>
      <c r="Y4" s="24">
        <f t="shared" si="7"/>
        <v>1.6050575691566895</v>
      </c>
      <c r="Z4" s="24">
        <f t="shared" si="8"/>
        <v>14.511030676253338</v>
      </c>
      <c r="AA4" s="24">
        <f t="shared" si="9"/>
        <v>12.269740239693087</v>
      </c>
      <c r="AB4" s="24">
        <f t="shared" si="10"/>
        <v>24.9519087227372</v>
      </c>
      <c r="AC4" s="24">
        <f t="shared" si="11"/>
        <v>3.402533007645982</v>
      </c>
      <c r="AD4" s="24">
        <f t="shared" si="12"/>
        <v>5.052245981050095</v>
      </c>
      <c r="AE4" s="24">
        <f t="shared" si="13"/>
        <v>45.676427951126364</v>
      </c>
      <c r="AF4" s="34"/>
      <c r="AG4" s="34"/>
      <c r="AH4" s="35"/>
      <c r="AI4" s="35"/>
      <c r="AJ4" s="35"/>
      <c r="AK4" s="35"/>
    </row>
    <row r="5" spans="1:37" ht="12.75">
      <c r="A5" s="1">
        <v>1</v>
      </c>
      <c r="B5" s="1" t="s">
        <v>9</v>
      </c>
      <c r="C5" s="1">
        <v>3</v>
      </c>
      <c r="D5" s="1">
        <v>119</v>
      </c>
      <c r="E5" s="1">
        <v>144</v>
      </c>
      <c r="F5" s="1">
        <v>21</v>
      </c>
      <c r="G5" s="1">
        <v>120</v>
      </c>
      <c r="H5" s="2" t="s">
        <v>274</v>
      </c>
      <c r="I5" s="9">
        <v>8.2547</v>
      </c>
      <c r="J5" s="9">
        <v>8.97</v>
      </c>
      <c r="K5" s="9">
        <v>8.6963</v>
      </c>
      <c r="L5" s="10">
        <f t="shared" si="14"/>
        <v>38.26366559485523</v>
      </c>
      <c r="M5" s="10"/>
      <c r="N5" s="1">
        <v>6.83</v>
      </c>
      <c r="O5" s="1">
        <v>18.15</v>
      </c>
      <c r="P5" s="3">
        <f t="shared" si="15"/>
        <v>12.0353</v>
      </c>
      <c r="Q5" s="21">
        <f t="shared" si="0"/>
        <v>60636.942675159225</v>
      </c>
      <c r="R5" s="21">
        <f t="shared" si="1"/>
        <v>73375.79617834394</v>
      </c>
      <c r="S5" s="21">
        <f t="shared" si="2"/>
        <v>10700.636942675157</v>
      </c>
      <c r="T5" s="21">
        <f t="shared" si="3"/>
        <v>61146.49681528661</v>
      </c>
      <c r="U5" s="21">
        <f t="shared" si="4"/>
        <v>205859.87261146493</v>
      </c>
      <c r="V5" s="24">
        <f t="shared" si="16"/>
        <v>9.887580700107184</v>
      </c>
      <c r="W5" s="24">
        <f t="shared" si="5"/>
        <v>11.964803536264156</v>
      </c>
      <c r="X5" s="24">
        <f t="shared" si="6"/>
        <v>1.7448671823718562</v>
      </c>
      <c r="Y5" s="24">
        <f t="shared" si="7"/>
        <v>9.970669613553463</v>
      </c>
      <c r="Z5" s="24">
        <f t="shared" si="8"/>
        <v>33.56792103229666</v>
      </c>
      <c r="AA5" s="24">
        <f t="shared" si="9"/>
        <v>25.840652081792772</v>
      </c>
      <c r="AB5" s="24">
        <f t="shared" si="10"/>
        <v>31.269360502337474</v>
      </c>
      <c r="AC5" s="24">
        <f t="shared" si="11"/>
        <v>4.560115073257548</v>
      </c>
      <c r="AD5" s="24">
        <f t="shared" si="12"/>
        <v>26.057800418614562</v>
      </c>
      <c r="AE5" s="24">
        <f t="shared" si="13"/>
        <v>87.72792807600236</v>
      </c>
      <c r="AF5" s="34"/>
      <c r="AG5" s="34"/>
      <c r="AH5" s="35"/>
      <c r="AI5" s="35"/>
      <c r="AJ5" s="35"/>
      <c r="AK5" s="35"/>
    </row>
    <row r="6" spans="1:37" s="3" customFormat="1" ht="12.75">
      <c r="A6" s="3">
        <v>1</v>
      </c>
      <c r="B6" s="3" t="s">
        <v>11</v>
      </c>
      <c r="C6" s="3">
        <v>1</v>
      </c>
      <c r="D6" s="3">
        <v>13</v>
      </c>
      <c r="E6" s="3">
        <v>47</v>
      </c>
      <c r="F6" s="3">
        <v>8</v>
      </c>
      <c r="G6" s="3">
        <v>36</v>
      </c>
      <c r="H6" s="2" t="s">
        <v>272</v>
      </c>
      <c r="I6" s="9">
        <v>8.6405</v>
      </c>
      <c r="J6" s="9">
        <v>9.3798</v>
      </c>
      <c r="K6" s="9">
        <v>9.1275</v>
      </c>
      <c r="L6" s="10">
        <f t="shared" si="14"/>
        <v>34.12687677532801</v>
      </c>
      <c r="M6" s="10">
        <f>AVERAGE(L6:L8)</f>
        <v>28.893448240590136</v>
      </c>
      <c r="N6" s="3">
        <v>7.03</v>
      </c>
      <c r="O6" s="3">
        <v>16.94</v>
      </c>
      <c r="P6" s="3">
        <f t="shared" si="15"/>
        <v>10.6493</v>
      </c>
      <c r="Q6" s="21">
        <f t="shared" si="0"/>
        <v>6624.20382165605</v>
      </c>
      <c r="R6" s="21">
        <f t="shared" si="1"/>
        <v>23949.044585987256</v>
      </c>
      <c r="S6" s="21">
        <f t="shared" si="2"/>
        <v>4076.4331210191076</v>
      </c>
      <c r="T6" s="21">
        <f t="shared" si="3"/>
        <v>18343.949044585985</v>
      </c>
      <c r="U6" s="21">
        <f t="shared" si="4"/>
        <v>52993.630573248396</v>
      </c>
      <c r="V6" s="24">
        <f t="shared" si="16"/>
        <v>1.2207375132637825</v>
      </c>
      <c r="W6" s="24">
        <f t="shared" si="5"/>
        <v>4.413435624876753</v>
      </c>
      <c r="X6" s="24">
        <f t="shared" si="6"/>
        <v>0.7512230850854047</v>
      </c>
      <c r="Y6" s="24">
        <f t="shared" si="7"/>
        <v>3.380503882884321</v>
      </c>
      <c r="Z6" s="24">
        <f t="shared" si="8"/>
        <v>9.76590010611026</v>
      </c>
      <c r="AA6" s="24">
        <f t="shared" si="9"/>
        <v>3.577056058485591</v>
      </c>
      <c r="AB6" s="24">
        <f t="shared" si="10"/>
        <v>12.932433442217137</v>
      </c>
      <c r="AC6" s="24">
        <f t="shared" si="11"/>
        <v>2.201265266760364</v>
      </c>
      <c r="AD6" s="24">
        <f t="shared" si="12"/>
        <v>9.905693700421637</v>
      </c>
      <c r="AE6" s="24">
        <f t="shared" si="13"/>
        <v>28.616448467884727</v>
      </c>
      <c r="AF6" s="34">
        <f>AVERAGE(U6:U8)</f>
        <v>135881.10403397027</v>
      </c>
      <c r="AG6" s="34">
        <f>STDEV(U6:U8)/SQRT(3)</f>
        <v>42435.320166107886</v>
      </c>
      <c r="AH6" s="35">
        <f>AVERAGE(Z6:Z8)</f>
        <v>15.076798274425684</v>
      </c>
      <c r="AI6" s="35">
        <f>STDEV(Z6:Z8)/SQRT(3)</f>
        <v>2.6570259707352215</v>
      </c>
      <c r="AJ6" s="35">
        <f>AVERAGE(AE6:AE8)</f>
        <v>54.62107555106548</v>
      </c>
      <c r="AK6" s="35">
        <f>STDEV(AE6:AE8)/SQRT(3)</f>
        <v>13.14973644871792</v>
      </c>
    </row>
    <row r="7" spans="1:37" ht="12.75">
      <c r="A7" s="1">
        <v>1</v>
      </c>
      <c r="B7" s="1" t="s">
        <v>11</v>
      </c>
      <c r="C7" s="1">
        <v>2</v>
      </c>
      <c r="D7" s="1">
        <v>50</v>
      </c>
      <c r="E7" s="1">
        <v>143</v>
      </c>
      <c r="F7" s="1">
        <v>14</v>
      </c>
      <c r="G7" s="1">
        <v>110</v>
      </c>
      <c r="H7" s="2" t="s">
        <v>275</v>
      </c>
      <c r="I7" s="9">
        <v>7.0958</v>
      </c>
      <c r="J7" s="9">
        <v>7.9641</v>
      </c>
      <c r="K7" s="9">
        <v>7.7265</v>
      </c>
      <c r="L7" s="10">
        <f t="shared" si="14"/>
        <v>27.363814349879114</v>
      </c>
      <c r="M7" s="10"/>
      <c r="N7" s="1">
        <v>7.11</v>
      </c>
      <c r="O7" s="1">
        <v>24.28</v>
      </c>
      <c r="P7" s="3">
        <f t="shared" si="15"/>
        <v>18.038300000000003</v>
      </c>
      <c r="Q7" s="21">
        <f t="shared" si="0"/>
        <v>25477.707006369423</v>
      </c>
      <c r="R7" s="21">
        <f t="shared" si="1"/>
        <v>72866.24203821654</v>
      </c>
      <c r="S7" s="21">
        <f t="shared" si="2"/>
        <v>7133.757961783438</v>
      </c>
      <c r="T7" s="21">
        <f t="shared" si="3"/>
        <v>56050.95541401273</v>
      </c>
      <c r="U7" s="21">
        <f t="shared" si="4"/>
        <v>161528.66242038214</v>
      </c>
      <c r="V7" s="24">
        <f t="shared" si="16"/>
        <v>2.771879833465459</v>
      </c>
      <c r="W7" s="24">
        <f t="shared" si="5"/>
        <v>7.927576323711213</v>
      </c>
      <c r="X7" s="24">
        <f t="shared" si="6"/>
        <v>0.7761263533703285</v>
      </c>
      <c r="Y7" s="24">
        <f t="shared" si="7"/>
        <v>6.09813563362401</v>
      </c>
      <c r="Z7" s="24">
        <f t="shared" si="8"/>
        <v>17.57371814417101</v>
      </c>
      <c r="AA7" s="24">
        <f t="shared" si="9"/>
        <v>10.129727522719087</v>
      </c>
      <c r="AB7" s="24">
        <f t="shared" si="10"/>
        <v>28.97102071497659</v>
      </c>
      <c r="AC7" s="24">
        <f t="shared" si="11"/>
        <v>2.8363237063613442</v>
      </c>
      <c r="AD7" s="24">
        <f t="shared" si="12"/>
        <v>22.28540054998199</v>
      </c>
      <c r="AE7" s="24">
        <f t="shared" si="13"/>
        <v>64.22247249403901</v>
      </c>
      <c r="AF7" s="34"/>
      <c r="AG7" s="34"/>
      <c r="AH7" s="35"/>
      <c r="AI7" s="35"/>
      <c r="AJ7" s="35"/>
      <c r="AK7" s="35"/>
    </row>
    <row r="8" spans="1:37" ht="12.75">
      <c r="A8" s="1">
        <v>1</v>
      </c>
      <c r="B8" s="1" t="s">
        <v>11</v>
      </c>
      <c r="C8" s="1">
        <v>3</v>
      </c>
      <c r="D8" s="1">
        <v>113</v>
      </c>
      <c r="E8" s="1">
        <v>96</v>
      </c>
      <c r="F8" s="1">
        <v>16</v>
      </c>
      <c r="G8" s="1">
        <v>154</v>
      </c>
      <c r="H8" s="2" t="s">
        <v>276</v>
      </c>
      <c r="I8" s="9">
        <v>7.8671</v>
      </c>
      <c r="J8" s="9">
        <v>8.9612</v>
      </c>
      <c r="K8" s="9">
        <v>8.6856</v>
      </c>
      <c r="L8" s="10">
        <f t="shared" si="14"/>
        <v>25.18965359656329</v>
      </c>
      <c r="M8" s="10"/>
      <c r="N8" s="1">
        <v>7.06</v>
      </c>
      <c r="O8" s="1">
        <v>27.15</v>
      </c>
      <c r="P8" s="3">
        <f t="shared" si="15"/>
        <v>21.1841</v>
      </c>
      <c r="Q8" s="21">
        <f t="shared" si="0"/>
        <v>57579.6178343949</v>
      </c>
      <c r="R8" s="21">
        <f t="shared" si="1"/>
        <v>48917.197452229295</v>
      </c>
      <c r="S8" s="21">
        <f t="shared" si="2"/>
        <v>8152.866242038215</v>
      </c>
      <c r="T8" s="21">
        <f t="shared" si="3"/>
        <v>78471.33757961783</v>
      </c>
      <c r="U8" s="21">
        <f t="shared" si="4"/>
        <v>193121.01910828025</v>
      </c>
      <c r="V8" s="24">
        <f t="shared" si="16"/>
        <v>5.33418932123621</v>
      </c>
      <c r="W8" s="24">
        <f t="shared" si="5"/>
        <v>4.531700662289169</v>
      </c>
      <c r="X8" s="24">
        <f t="shared" si="6"/>
        <v>0.7552834437148616</v>
      </c>
      <c r="Y8" s="24">
        <f t="shared" si="7"/>
        <v>7.269603145755543</v>
      </c>
      <c r="Z8" s="24">
        <f t="shared" si="8"/>
        <v>17.890776572995783</v>
      </c>
      <c r="AA8" s="24">
        <f t="shared" si="9"/>
        <v>21.176112250959942</v>
      </c>
      <c r="AB8" s="24">
        <f t="shared" si="10"/>
        <v>17.990325452142958</v>
      </c>
      <c r="AC8" s="24">
        <f t="shared" si="11"/>
        <v>2.99838757535716</v>
      </c>
      <c r="AD8" s="24">
        <f t="shared" si="12"/>
        <v>28.859480412812662</v>
      </c>
      <c r="AE8" s="24">
        <f t="shared" si="13"/>
        <v>71.02430569127272</v>
      </c>
      <c r="AF8" s="34"/>
      <c r="AG8" s="34"/>
      <c r="AH8" s="35"/>
      <c r="AI8" s="35"/>
      <c r="AJ8" s="35"/>
      <c r="AK8" s="35"/>
    </row>
    <row r="9" spans="1:37" s="3" customFormat="1" ht="12.75">
      <c r="A9" s="3">
        <v>2</v>
      </c>
      <c r="B9" s="3" t="s">
        <v>9</v>
      </c>
      <c r="C9" s="3">
        <v>1</v>
      </c>
      <c r="D9" s="3">
        <v>50</v>
      </c>
      <c r="E9" s="3">
        <v>144</v>
      </c>
      <c r="F9" s="3">
        <v>16</v>
      </c>
      <c r="G9" s="3">
        <v>41</v>
      </c>
      <c r="H9" s="4" t="s">
        <v>108</v>
      </c>
      <c r="I9" s="9">
        <v>8.5587</v>
      </c>
      <c r="J9" s="9">
        <v>8.9967</v>
      </c>
      <c r="K9" s="9">
        <v>8.6782</v>
      </c>
      <c r="L9" s="10">
        <f t="shared" si="14"/>
        <v>72.7168949771689</v>
      </c>
      <c r="M9" s="10">
        <f>AVERAGE(L9:L11)</f>
        <v>55.5443418995737</v>
      </c>
      <c r="N9" s="3">
        <v>6.94</v>
      </c>
      <c r="O9" s="3">
        <v>15.99</v>
      </c>
      <c r="P9" s="3">
        <f t="shared" si="15"/>
        <v>9.488000000000001</v>
      </c>
      <c r="Q9" s="21">
        <f t="shared" si="0"/>
        <v>25477.707006369423</v>
      </c>
      <c r="R9" s="21">
        <f t="shared" si="1"/>
        <v>73375.79617834394</v>
      </c>
      <c r="S9" s="21">
        <f t="shared" si="2"/>
        <v>8152.866242038215</v>
      </c>
      <c r="T9" s="21">
        <f t="shared" si="3"/>
        <v>20891.719745222927</v>
      </c>
      <c r="U9" s="21">
        <f t="shared" si="4"/>
        <v>127898.08917197451</v>
      </c>
      <c r="V9" s="24">
        <f t="shared" si="16"/>
        <v>5.269814502529511</v>
      </c>
      <c r="W9" s="24">
        <f t="shared" si="5"/>
        <v>15.17706576728499</v>
      </c>
      <c r="X9" s="24">
        <f t="shared" si="6"/>
        <v>1.6863406408094432</v>
      </c>
      <c r="Y9" s="24">
        <f t="shared" si="7"/>
        <v>4.321247892074198</v>
      </c>
      <c r="Z9" s="24">
        <f t="shared" si="8"/>
        <v>26.45446880269814</v>
      </c>
      <c r="AA9" s="24">
        <f t="shared" si="9"/>
        <v>7.247029049004479</v>
      </c>
      <c r="AB9" s="24">
        <f t="shared" si="10"/>
        <v>20.8714436611329</v>
      </c>
      <c r="AC9" s="24">
        <f t="shared" si="11"/>
        <v>2.3190492956814333</v>
      </c>
      <c r="AD9" s="24">
        <f t="shared" si="12"/>
        <v>5.942563820183673</v>
      </c>
      <c r="AE9" s="24">
        <f t="shared" si="13"/>
        <v>36.380085826002485</v>
      </c>
      <c r="AF9" s="34">
        <f>AVERAGE(U9:U11)</f>
        <v>140127.38853503185</v>
      </c>
      <c r="AG9" s="34">
        <f>STDEV(U9:U11)/SQRT(3)</f>
        <v>6785.5573181953905</v>
      </c>
      <c r="AH9" s="35">
        <f>AVERAGE(Z9:Z11)</f>
        <v>23.46010844952716</v>
      </c>
      <c r="AI9" s="35">
        <f>STDEV(Z9:Z11)/SQRT(3)</f>
        <v>2.3424646909084346</v>
      </c>
      <c r="AJ9" s="35">
        <f>AVERAGE(AE9:AE11)</f>
        <v>44.10796778391917</v>
      </c>
      <c r="AK9" s="35">
        <f>STDEV(AE9:AE11)/SQRT(3)</f>
        <v>4.810076650212903</v>
      </c>
    </row>
    <row r="10" spans="1:39" ht="12.75">
      <c r="A10" s="1">
        <v>2</v>
      </c>
      <c r="B10" s="1" t="s">
        <v>9</v>
      </c>
      <c r="C10" s="1">
        <v>2</v>
      </c>
      <c r="D10" s="1">
        <v>63</v>
      </c>
      <c r="E10" s="1">
        <v>172</v>
      </c>
      <c r="F10" s="1">
        <v>12</v>
      </c>
      <c r="G10" s="1">
        <v>30</v>
      </c>
      <c r="H10" s="2" t="s">
        <v>277</v>
      </c>
      <c r="I10" s="9">
        <v>7.7447</v>
      </c>
      <c r="J10" s="9">
        <v>8.4779</v>
      </c>
      <c r="K10" s="9">
        <v>8.0503</v>
      </c>
      <c r="L10" s="10">
        <f t="shared" si="14"/>
        <v>58.31969448990725</v>
      </c>
      <c r="M10" s="10"/>
      <c r="N10" s="1">
        <v>6.88</v>
      </c>
      <c r="O10" s="1">
        <v>17.19</v>
      </c>
      <c r="P10" s="3">
        <f t="shared" si="15"/>
        <v>11.043200000000002</v>
      </c>
      <c r="Q10" s="21">
        <f t="shared" si="0"/>
        <v>32101.910828025473</v>
      </c>
      <c r="R10" s="21">
        <f t="shared" si="1"/>
        <v>87643.31210191082</v>
      </c>
      <c r="S10" s="21">
        <f t="shared" si="2"/>
        <v>6114.649681528662</v>
      </c>
      <c r="T10" s="21">
        <f t="shared" si="3"/>
        <v>15286.624203821653</v>
      </c>
      <c r="U10" s="21">
        <f t="shared" si="4"/>
        <v>141146.4968152866</v>
      </c>
      <c r="V10" s="24">
        <f t="shared" si="16"/>
        <v>5.704868154158214</v>
      </c>
      <c r="W10" s="24">
        <f t="shared" si="5"/>
        <v>15.575195595479569</v>
      </c>
      <c r="X10" s="24">
        <f t="shared" si="6"/>
        <v>1.0866415531729932</v>
      </c>
      <c r="Y10" s="24">
        <f t="shared" si="7"/>
        <v>2.716603882932483</v>
      </c>
      <c r="Z10" s="24">
        <f t="shared" si="8"/>
        <v>25.083309185743257</v>
      </c>
      <c r="AA10" s="24">
        <f t="shared" si="9"/>
        <v>9.782061109983168</v>
      </c>
      <c r="AB10" s="24">
        <f t="shared" si="10"/>
        <v>26.706579538366746</v>
      </c>
      <c r="AC10" s="24">
        <f t="shared" si="11"/>
        <v>1.8632497352348893</v>
      </c>
      <c r="AD10" s="24">
        <f t="shared" si="12"/>
        <v>4.658124338087223</v>
      </c>
      <c r="AE10" s="24">
        <f t="shared" si="13"/>
        <v>43.01001472167202</v>
      </c>
      <c r="AF10" s="34"/>
      <c r="AG10" s="34"/>
      <c r="AH10" s="35"/>
      <c r="AI10" s="35"/>
      <c r="AJ10" s="35"/>
      <c r="AK10" s="35"/>
      <c r="AM10" s="1">
        <v>9.76590010611026</v>
      </c>
    </row>
    <row r="11" spans="1:39" ht="12.75">
      <c r="A11" s="1">
        <v>2</v>
      </c>
      <c r="B11" s="1" t="s">
        <v>9</v>
      </c>
      <c r="C11" s="1">
        <v>3</v>
      </c>
      <c r="D11" s="1">
        <v>26</v>
      </c>
      <c r="E11" s="1">
        <v>156</v>
      </c>
      <c r="F11" s="1">
        <v>20</v>
      </c>
      <c r="G11" s="1">
        <v>95</v>
      </c>
      <c r="H11" s="2" t="s">
        <v>278</v>
      </c>
      <c r="I11" s="9">
        <v>7.8041</v>
      </c>
      <c r="J11" s="9">
        <v>9.0163</v>
      </c>
      <c r="K11" s="9">
        <v>8.5848</v>
      </c>
      <c r="L11" s="10">
        <f t="shared" si="14"/>
        <v>35.596436231644944</v>
      </c>
      <c r="M11" s="10"/>
      <c r="N11" s="1">
        <v>6.85</v>
      </c>
      <c r="O11" s="1">
        <v>21.4</v>
      </c>
      <c r="P11" s="3">
        <f t="shared" si="15"/>
        <v>15.762199999999998</v>
      </c>
      <c r="Q11" s="21">
        <f t="shared" si="0"/>
        <v>13248.4076433121</v>
      </c>
      <c r="R11" s="21">
        <f t="shared" si="1"/>
        <v>79490.4458598726</v>
      </c>
      <c r="S11" s="21">
        <f t="shared" si="2"/>
        <v>10191.08280254777</v>
      </c>
      <c r="T11" s="21">
        <f t="shared" si="3"/>
        <v>48407.64331210191</v>
      </c>
      <c r="U11" s="21">
        <f t="shared" si="4"/>
        <v>151337.5796178344</v>
      </c>
      <c r="V11" s="24">
        <f t="shared" si="16"/>
        <v>1.6495159305173137</v>
      </c>
      <c r="W11" s="24">
        <f t="shared" si="5"/>
        <v>9.897095583103882</v>
      </c>
      <c r="X11" s="24">
        <f t="shared" si="6"/>
        <v>1.2688584080902414</v>
      </c>
      <c r="Y11" s="24">
        <f t="shared" si="7"/>
        <v>6.0270774384286465</v>
      </c>
      <c r="Z11" s="24">
        <f t="shared" si="8"/>
        <v>18.84254736014008</v>
      </c>
      <c r="AA11" s="24">
        <f t="shared" si="9"/>
        <v>4.6339355990106315</v>
      </c>
      <c r="AB11" s="24">
        <f t="shared" si="10"/>
        <v>27.80361359406379</v>
      </c>
      <c r="AC11" s="24">
        <f t="shared" si="11"/>
        <v>3.5645658453927935</v>
      </c>
      <c r="AD11" s="24">
        <f t="shared" si="12"/>
        <v>16.93168776561577</v>
      </c>
      <c r="AE11" s="24">
        <f t="shared" si="13"/>
        <v>52.93380280408299</v>
      </c>
      <c r="AF11" s="34"/>
      <c r="AG11" s="34"/>
      <c r="AH11" s="35"/>
      <c r="AI11" s="35"/>
      <c r="AJ11" s="35"/>
      <c r="AK11" s="35"/>
      <c r="AM11" s="1">
        <v>17.57371814417101</v>
      </c>
    </row>
    <row r="12" spans="1:39" s="3" customFormat="1" ht="12.75">
      <c r="A12" s="3">
        <v>2</v>
      </c>
      <c r="B12" s="3" t="s">
        <v>11</v>
      </c>
      <c r="C12" s="3">
        <v>1</v>
      </c>
      <c r="D12" s="3">
        <v>27</v>
      </c>
      <c r="E12" s="3">
        <v>130</v>
      </c>
      <c r="F12" s="3">
        <v>19</v>
      </c>
      <c r="G12" s="3">
        <v>59</v>
      </c>
      <c r="H12" s="4" t="s">
        <v>279</v>
      </c>
      <c r="I12" s="9">
        <v>8.6431</v>
      </c>
      <c r="J12" s="9">
        <v>9.2884</v>
      </c>
      <c r="K12" s="9">
        <v>8.9119</v>
      </c>
      <c r="L12" s="10">
        <f t="shared" si="14"/>
        <v>58.34495583449569</v>
      </c>
      <c r="M12" s="10">
        <f>AVERAGE(L12:L14)</f>
        <v>39.501998146654884</v>
      </c>
      <c r="N12" s="3">
        <v>6.9</v>
      </c>
      <c r="O12" s="3">
        <v>13.35</v>
      </c>
      <c r="P12" s="3">
        <f t="shared" si="15"/>
        <v>7.095299999999998</v>
      </c>
      <c r="Q12" s="21">
        <f t="shared" si="0"/>
        <v>13757.961783439488</v>
      </c>
      <c r="R12" s="21">
        <f t="shared" si="1"/>
        <v>66242.0382165605</v>
      </c>
      <c r="S12" s="21">
        <f t="shared" si="2"/>
        <v>9681.52866242038</v>
      </c>
      <c r="T12" s="21">
        <f t="shared" si="3"/>
        <v>30063.69426751592</v>
      </c>
      <c r="U12" s="21">
        <f t="shared" si="4"/>
        <v>119745.2229299363</v>
      </c>
      <c r="V12" s="24">
        <f t="shared" si="16"/>
        <v>3.805335926599299</v>
      </c>
      <c r="W12" s="24">
        <f t="shared" si="5"/>
        <v>18.321987794737367</v>
      </c>
      <c r="X12" s="24">
        <f t="shared" si="6"/>
        <v>2.677828985384692</v>
      </c>
      <c r="Y12" s="24">
        <f t="shared" si="7"/>
        <v>8.315363691457728</v>
      </c>
      <c r="Z12" s="24">
        <f t="shared" si="8"/>
        <v>33.120516398179085</v>
      </c>
      <c r="AA12" s="24">
        <f t="shared" si="9"/>
        <v>6.522133528378547</v>
      </c>
      <c r="AB12" s="24">
        <f t="shared" si="10"/>
        <v>31.402865136637452</v>
      </c>
      <c r="AC12" s="24">
        <f t="shared" si="11"/>
        <v>4.589649519970089</v>
      </c>
      <c r="AD12" s="24">
        <f t="shared" si="12"/>
        <v>14.252069562012382</v>
      </c>
      <c r="AE12" s="24">
        <f t="shared" si="13"/>
        <v>56.76671774699847</v>
      </c>
      <c r="AF12" s="34">
        <f>AVERAGE(U12:U14)</f>
        <v>140297.2399150743</v>
      </c>
      <c r="AG12" s="34">
        <f>STDEV(U12:U14)/SQRT(3)</f>
        <v>10277.061236454065</v>
      </c>
      <c r="AH12" s="35">
        <f>AVERAGE(Z12:Z14)</f>
        <v>22.516310401945088</v>
      </c>
      <c r="AI12" s="35">
        <f>STDEV(Z12:Z14)/SQRT(3)</f>
        <v>6.686840654983291</v>
      </c>
      <c r="AJ12" s="35">
        <f>AVERAGE(AE12:AE14)</f>
        <v>57.93654157669139</v>
      </c>
      <c r="AK12" s="35">
        <f>STDEV(AE12:AE14)/SQRT(3)</f>
        <v>1.7605062203050716</v>
      </c>
      <c r="AM12" s="3">
        <v>17.890776572995783</v>
      </c>
    </row>
    <row r="13" spans="1:39" ht="12.75">
      <c r="A13" s="1">
        <v>2</v>
      </c>
      <c r="B13" s="1" t="s">
        <v>11</v>
      </c>
      <c r="C13" s="1">
        <v>2</v>
      </c>
      <c r="D13" s="1">
        <v>37</v>
      </c>
      <c r="E13" s="1">
        <v>177</v>
      </c>
      <c r="F13" s="1">
        <v>21</v>
      </c>
      <c r="G13" s="1">
        <v>61</v>
      </c>
      <c r="H13" s="2" t="s">
        <v>280</v>
      </c>
      <c r="I13" s="9">
        <v>8.5707</v>
      </c>
      <c r="J13" s="9">
        <v>9.3761</v>
      </c>
      <c r="K13" s="9">
        <v>9.0248</v>
      </c>
      <c r="L13" s="10">
        <f t="shared" si="14"/>
        <v>43.61807797367754</v>
      </c>
      <c r="M13" s="10"/>
      <c r="N13" s="1">
        <v>7.13</v>
      </c>
      <c r="O13" s="1">
        <v>18.52</v>
      </c>
      <c r="P13" s="3">
        <f t="shared" si="15"/>
        <v>12.1954</v>
      </c>
      <c r="Q13" s="21">
        <f t="shared" si="0"/>
        <v>18853.503184713372</v>
      </c>
      <c r="R13" s="21">
        <f t="shared" si="1"/>
        <v>90191.08280254775</v>
      </c>
      <c r="S13" s="21">
        <f t="shared" si="2"/>
        <v>10700.636942675157</v>
      </c>
      <c r="T13" s="21">
        <f t="shared" si="3"/>
        <v>31082.802547770698</v>
      </c>
      <c r="U13" s="21">
        <f t="shared" si="4"/>
        <v>150828.02547770698</v>
      </c>
      <c r="V13" s="24">
        <f t="shared" si="16"/>
        <v>3.033930826377159</v>
      </c>
      <c r="W13" s="24">
        <f t="shared" si="5"/>
        <v>14.513669088344786</v>
      </c>
      <c r="X13" s="24">
        <f t="shared" si="6"/>
        <v>1.7219607392951441</v>
      </c>
      <c r="Y13" s="24">
        <f t="shared" si="7"/>
        <v>5.001885957000181</v>
      </c>
      <c r="Z13" s="24">
        <f t="shared" si="8"/>
        <v>24.27144661101727</v>
      </c>
      <c r="AA13" s="24">
        <f t="shared" si="9"/>
        <v>6.955672893720954</v>
      </c>
      <c r="AB13" s="24">
        <f t="shared" si="10"/>
        <v>33.274435194286724</v>
      </c>
      <c r="AC13" s="24">
        <f t="shared" si="11"/>
        <v>3.9478143450848657</v>
      </c>
      <c r="AD13" s="24">
        <f t="shared" si="12"/>
        <v>11.467460716675086</v>
      </c>
      <c r="AE13" s="24">
        <f t="shared" si="13"/>
        <v>55.645383149767625</v>
      </c>
      <c r="AF13" s="34"/>
      <c r="AG13" s="34"/>
      <c r="AH13" s="35"/>
      <c r="AI13" s="35"/>
      <c r="AJ13" s="35"/>
      <c r="AK13" s="35"/>
      <c r="AM13" s="1">
        <v>33.120516398179085</v>
      </c>
    </row>
    <row r="14" spans="1:39" ht="12.75">
      <c r="A14" s="1">
        <v>2</v>
      </c>
      <c r="B14" s="1" t="s">
        <v>11</v>
      </c>
      <c r="C14" s="1">
        <v>3</v>
      </c>
      <c r="D14" s="1">
        <v>30</v>
      </c>
      <c r="E14" s="1">
        <v>84</v>
      </c>
      <c r="F14" s="1">
        <v>11</v>
      </c>
      <c r="G14" s="1">
        <v>170</v>
      </c>
      <c r="H14" s="2" t="s">
        <v>281</v>
      </c>
      <c r="I14" s="9">
        <v>9.096</v>
      </c>
      <c r="J14" s="9">
        <v>10.7801</v>
      </c>
      <c r="K14" s="9">
        <v>10.5015</v>
      </c>
      <c r="L14" s="10">
        <f t="shared" si="14"/>
        <v>16.542960631791416</v>
      </c>
      <c r="M14" s="10"/>
      <c r="N14" s="1">
        <v>6.87</v>
      </c>
      <c r="O14" s="1">
        <v>34.23</v>
      </c>
      <c r="P14" s="3">
        <f t="shared" si="15"/>
        <v>29.044099999999993</v>
      </c>
      <c r="Q14" s="21">
        <f t="shared" si="0"/>
        <v>15286.624203821653</v>
      </c>
      <c r="R14" s="21">
        <f t="shared" si="1"/>
        <v>42802.54777070063</v>
      </c>
      <c r="S14" s="21">
        <f t="shared" si="2"/>
        <v>5605.095541401273</v>
      </c>
      <c r="T14" s="21">
        <f t="shared" si="3"/>
        <v>86624.20382165603</v>
      </c>
      <c r="U14" s="21">
        <f t="shared" si="4"/>
        <v>150318.4713375796</v>
      </c>
      <c r="V14" s="24">
        <f t="shared" si="16"/>
        <v>1.0329120199971769</v>
      </c>
      <c r="W14" s="24">
        <f t="shared" si="5"/>
        <v>2.8921536559920953</v>
      </c>
      <c r="X14" s="24">
        <f t="shared" si="6"/>
        <v>0.37873440733229824</v>
      </c>
      <c r="Y14" s="24">
        <f t="shared" si="7"/>
        <v>5.853168113317336</v>
      </c>
      <c r="Z14" s="24">
        <f t="shared" si="8"/>
        <v>10.156968196638907</v>
      </c>
      <c r="AA14" s="24">
        <f t="shared" si="9"/>
        <v>6.243815983048278</v>
      </c>
      <c r="AB14" s="24">
        <f t="shared" si="10"/>
        <v>17.482684752535178</v>
      </c>
      <c r="AC14" s="24">
        <f t="shared" si="11"/>
        <v>2.2893991937843685</v>
      </c>
      <c r="AD14" s="24">
        <f t="shared" si="12"/>
        <v>35.381623903940245</v>
      </c>
      <c r="AE14" s="24">
        <f t="shared" si="13"/>
        <v>61.39752383330807</v>
      </c>
      <c r="AF14" s="34"/>
      <c r="AG14" s="34"/>
      <c r="AH14" s="35"/>
      <c r="AI14" s="35"/>
      <c r="AJ14" s="35"/>
      <c r="AK14" s="35"/>
      <c r="AM14" s="1">
        <v>24.27144661101727</v>
      </c>
    </row>
    <row r="15" spans="1:39" s="3" customFormat="1" ht="12.75">
      <c r="A15" s="3">
        <v>3</v>
      </c>
      <c r="B15" s="3" t="s">
        <v>9</v>
      </c>
      <c r="C15" s="3">
        <v>1</v>
      </c>
      <c r="D15" s="3">
        <v>11</v>
      </c>
      <c r="E15" s="3">
        <v>15</v>
      </c>
      <c r="F15" s="3">
        <v>5</v>
      </c>
      <c r="G15" s="3">
        <v>4</v>
      </c>
      <c r="H15" s="4" t="s">
        <v>282</v>
      </c>
      <c r="I15" s="9">
        <v>9.1597</v>
      </c>
      <c r="J15" s="9">
        <v>10.2791</v>
      </c>
      <c r="K15" s="9">
        <v>10.0262</v>
      </c>
      <c r="L15" s="10">
        <f t="shared" si="14"/>
        <v>22.592460246560712</v>
      </c>
      <c r="M15" s="10">
        <f>AVERAGE(L15:L17)</f>
        <v>34.590665663705856</v>
      </c>
      <c r="N15" s="3">
        <v>6.88</v>
      </c>
      <c r="O15" s="3">
        <v>27.33</v>
      </c>
      <c r="P15" s="3">
        <f t="shared" si="15"/>
        <v>21.569399999999998</v>
      </c>
      <c r="Q15" s="21">
        <f t="shared" si="0"/>
        <v>5605.095541401273</v>
      </c>
      <c r="R15" s="21">
        <f t="shared" si="1"/>
        <v>7643.312101910827</v>
      </c>
      <c r="S15" s="21">
        <f t="shared" si="2"/>
        <v>2547.7707006369424</v>
      </c>
      <c r="T15" s="21">
        <f t="shared" si="3"/>
        <v>2038.2165605095538</v>
      </c>
      <c r="U15" s="21">
        <f t="shared" si="4"/>
        <v>17834.394904458597</v>
      </c>
      <c r="V15" s="24">
        <f t="shared" si="16"/>
        <v>0.5099817333815498</v>
      </c>
      <c r="W15" s="24">
        <f t="shared" si="5"/>
        <v>0.6954296364293862</v>
      </c>
      <c r="X15" s="24">
        <f t="shared" si="6"/>
        <v>0.23180987880979537</v>
      </c>
      <c r="Y15" s="24">
        <f t="shared" si="7"/>
        <v>0.18544790304783632</v>
      </c>
      <c r="Z15" s="24">
        <f t="shared" si="8"/>
        <v>1.6226691516685676</v>
      </c>
      <c r="AA15" s="24">
        <f t="shared" si="9"/>
        <v>2.257309420115878</v>
      </c>
      <c r="AB15" s="24">
        <f t="shared" si="10"/>
        <v>3.078149209248924</v>
      </c>
      <c r="AC15" s="24">
        <f t="shared" si="11"/>
        <v>1.0260497364163081</v>
      </c>
      <c r="AD15" s="24">
        <f t="shared" si="12"/>
        <v>0.8208397891330464</v>
      </c>
      <c r="AE15" s="24">
        <f t="shared" si="13"/>
        <v>7.182348154914156</v>
      </c>
      <c r="AF15" s="34">
        <f>AVERAGE(U15:U17)</f>
        <v>99193.2059447983</v>
      </c>
      <c r="AG15" s="34">
        <f>STDEV(U15:U17)/SQRT(3)</f>
        <v>54936.09136649561</v>
      </c>
      <c r="AH15" s="35">
        <f>AVERAGE(Z15:Z17)</f>
        <v>12.116931010370783</v>
      </c>
      <c r="AI15" s="35">
        <f>STDEV(Z15:Z17)/SQRT(3)</f>
        <v>6.448351396734631</v>
      </c>
      <c r="AJ15" s="35">
        <f>AVERAGE(AE15:AE17)</f>
        <v>30.135009235918773</v>
      </c>
      <c r="AK15" s="35">
        <f>STDEV(AE15:AE17)/SQRT(3)</f>
        <v>13.380145064611483</v>
      </c>
      <c r="AM15" s="3">
        <v>10.156968196638907</v>
      </c>
    </row>
    <row r="16" spans="1:39" ht="12.75">
      <c r="A16" s="1">
        <v>3</v>
      </c>
      <c r="B16" s="1" t="s">
        <v>9</v>
      </c>
      <c r="C16" s="1">
        <v>2</v>
      </c>
      <c r="D16" s="1">
        <v>76</v>
      </c>
      <c r="E16" s="1">
        <v>162</v>
      </c>
      <c r="F16" s="1">
        <v>49</v>
      </c>
      <c r="G16" s="1">
        <v>113</v>
      </c>
      <c r="H16" s="2" t="s">
        <v>283</v>
      </c>
      <c r="I16" s="9">
        <v>7.8111</v>
      </c>
      <c r="J16" s="9">
        <v>8.7483</v>
      </c>
      <c r="K16" s="9">
        <v>8.3306</v>
      </c>
      <c r="L16" s="10">
        <f t="shared" si="14"/>
        <v>44.568928723858264</v>
      </c>
      <c r="M16" s="10"/>
      <c r="N16" s="1">
        <v>6.77</v>
      </c>
      <c r="O16" s="1">
        <v>22.6</v>
      </c>
      <c r="P16" s="3">
        <f t="shared" si="15"/>
        <v>16.767200000000003</v>
      </c>
      <c r="Q16" s="21">
        <f t="shared" si="0"/>
        <v>38726.11464968152</v>
      </c>
      <c r="R16" s="21">
        <f t="shared" si="1"/>
        <v>82547.77070063693</v>
      </c>
      <c r="S16" s="21">
        <f t="shared" si="2"/>
        <v>24968.152866242035</v>
      </c>
      <c r="T16" s="21">
        <f t="shared" si="3"/>
        <v>57579.6178343949</v>
      </c>
      <c r="U16" s="21">
        <f t="shared" si="4"/>
        <v>203821.6560509554</v>
      </c>
      <c r="V16" s="24">
        <f t="shared" si="16"/>
        <v>4.5326590009065315</v>
      </c>
      <c r="W16" s="24">
        <f t="shared" si="5"/>
        <v>9.661720501932342</v>
      </c>
      <c r="X16" s="24">
        <f t="shared" si="6"/>
        <v>2.922372250584474</v>
      </c>
      <c r="Y16" s="24">
        <f t="shared" si="7"/>
        <v>6.739348251347868</v>
      </c>
      <c r="Z16" s="24">
        <f t="shared" si="8"/>
        <v>23.856100004771214</v>
      </c>
      <c r="AA16" s="24">
        <f t="shared" si="9"/>
        <v>10.169997643403411</v>
      </c>
      <c r="AB16" s="24">
        <f t="shared" si="10"/>
        <v>21.678152871465166</v>
      </c>
      <c r="AC16" s="24">
        <f t="shared" si="11"/>
        <v>6.556972164825883</v>
      </c>
      <c r="AD16" s="24">
        <f t="shared" si="12"/>
        <v>15.121180706639281</v>
      </c>
      <c r="AE16" s="24">
        <f t="shared" si="13"/>
        <v>53.52630338633374</v>
      </c>
      <c r="AF16" s="34"/>
      <c r="AG16" s="34"/>
      <c r="AH16" s="35"/>
      <c r="AI16" s="35"/>
      <c r="AJ16" s="35"/>
      <c r="AK16" s="35"/>
      <c r="AM16" s="1">
        <v>4.05189483421634</v>
      </c>
    </row>
    <row r="17" spans="1:39" ht="12.75">
      <c r="A17" s="1">
        <v>3</v>
      </c>
      <c r="B17" s="1" t="s">
        <v>9</v>
      </c>
      <c r="C17" s="1">
        <v>3</v>
      </c>
      <c r="D17" s="1">
        <v>47</v>
      </c>
      <c r="E17" s="1">
        <v>11</v>
      </c>
      <c r="F17" s="1">
        <v>10</v>
      </c>
      <c r="G17" s="1">
        <v>81</v>
      </c>
      <c r="H17" s="2" t="s">
        <v>284</v>
      </c>
      <c r="I17" s="9">
        <v>7.8325</v>
      </c>
      <c r="J17" s="9">
        <v>8.8374</v>
      </c>
      <c r="K17" s="9">
        <v>8.4695</v>
      </c>
      <c r="L17" s="10">
        <f t="shared" si="14"/>
        <v>36.61060802069859</v>
      </c>
      <c r="M17" s="10"/>
      <c r="N17" s="1">
        <v>6.87</v>
      </c>
      <c r="O17" s="1">
        <v>19.57</v>
      </c>
      <c r="P17" s="3">
        <f t="shared" si="15"/>
        <v>13.7049</v>
      </c>
      <c r="Q17" s="21">
        <f t="shared" si="0"/>
        <v>23949.044585987256</v>
      </c>
      <c r="R17" s="21">
        <f t="shared" si="1"/>
        <v>5605.095541401273</v>
      </c>
      <c r="S17" s="21">
        <f t="shared" si="2"/>
        <v>5095.541401273885</v>
      </c>
      <c r="T17" s="21">
        <f t="shared" si="3"/>
        <v>41273.885350318465</v>
      </c>
      <c r="U17" s="21">
        <f t="shared" si="4"/>
        <v>75923.56687898087</v>
      </c>
      <c r="V17" s="24">
        <f t="shared" si="16"/>
        <v>3.429430349728929</v>
      </c>
      <c r="W17" s="24">
        <f t="shared" si="5"/>
        <v>0.8026326350429408</v>
      </c>
      <c r="X17" s="24">
        <f t="shared" si="6"/>
        <v>0.7296660318572189</v>
      </c>
      <c r="Y17" s="24">
        <f t="shared" si="7"/>
        <v>5.910294858043473</v>
      </c>
      <c r="Z17" s="24">
        <f t="shared" si="8"/>
        <v>10.87202387467256</v>
      </c>
      <c r="AA17" s="24">
        <f t="shared" si="9"/>
        <v>9.367313287422123</v>
      </c>
      <c r="AB17" s="24">
        <f t="shared" si="10"/>
        <v>2.1923499183328374</v>
      </c>
      <c r="AC17" s="24">
        <f t="shared" si="11"/>
        <v>1.9930453803025794</v>
      </c>
      <c r="AD17" s="24">
        <f t="shared" si="12"/>
        <v>16.14366758045089</v>
      </c>
      <c r="AE17" s="24">
        <f t="shared" si="13"/>
        <v>29.69637616650843</v>
      </c>
      <c r="AF17" s="34"/>
      <c r="AG17" s="34"/>
      <c r="AH17" s="35"/>
      <c r="AI17" s="35"/>
      <c r="AJ17" s="35"/>
      <c r="AK17" s="35"/>
      <c r="AM17" s="1">
        <v>6.7680407840379715</v>
      </c>
    </row>
    <row r="18" spans="1:39" s="3" customFormat="1" ht="12.75">
      <c r="A18" s="3">
        <v>3</v>
      </c>
      <c r="B18" s="3" t="s">
        <v>11</v>
      </c>
      <c r="C18" s="3">
        <v>1</v>
      </c>
      <c r="D18" s="3">
        <v>18</v>
      </c>
      <c r="E18" s="3">
        <v>38</v>
      </c>
      <c r="F18" s="3">
        <v>3</v>
      </c>
      <c r="G18" s="3">
        <v>47</v>
      </c>
      <c r="H18" s="4" t="s">
        <v>285</v>
      </c>
      <c r="I18" s="9">
        <v>7.7783</v>
      </c>
      <c r="J18" s="9">
        <v>9.6789</v>
      </c>
      <c r="K18" s="9">
        <v>9.3074</v>
      </c>
      <c r="L18" s="10">
        <f t="shared" si="14"/>
        <v>19.54645901294333</v>
      </c>
      <c r="M18" s="10">
        <f>AVERAGE(L18:L20)</f>
        <v>16.7957409864665</v>
      </c>
      <c r="N18" s="3">
        <v>6.77</v>
      </c>
      <c r="O18" s="3">
        <v>31.03</v>
      </c>
      <c r="P18" s="3">
        <f t="shared" si="15"/>
        <v>26.160600000000002</v>
      </c>
      <c r="Q18" s="21">
        <f t="shared" si="0"/>
        <v>9171.974522292992</v>
      </c>
      <c r="R18" s="21">
        <f t="shared" si="1"/>
        <v>19363.05732484076</v>
      </c>
      <c r="S18" s="21">
        <f t="shared" si="2"/>
        <v>1528.6624203821655</v>
      </c>
      <c r="T18" s="21">
        <f t="shared" si="3"/>
        <v>23949.044585987256</v>
      </c>
      <c r="U18" s="21">
        <f t="shared" si="4"/>
        <v>54012.73885350318</v>
      </c>
      <c r="V18" s="24">
        <f t="shared" si="16"/>
        <v>0.6880576133574917</v>
      </c>
      <c r="W18" s="24">
        <f t="shared" si="5"/>
        <v>1.4525660726435936</v>
      </c>
      <c r="X18" s="24">
        <f t="shared" si="6"/>
        <v>0.1146762688929153</v>
      </c>
      <c r="Y18" s="24">
        <f t="shared" si="7"/>
        <v>1.7965948793223396</v>
      </c>
      <c r="Z18" s="24">
        <f t="shared" si="8"/>
        <v>4.05189483421634</v>
      </c>
      <c r="AA18" s="24">
        <f t="shared" si="9"/>
        <v>3.520113862576704</v>
      </c>
      <c r="AB18" s="24">
        <f t="shared" si="10"/>
        <v>7.4313514876619315</v>
      </c>
      <c r="AC18" s="24">
        <f t="shared" si="11"/>
        <v>0.586685643762784</v>
      </c>
      <c r="AD18" s="24">
        <f t="shared" si="12"/>
        <v>9.191408418950283</v>
      </c>
      <c r="AE18" s="24">
        <f t="shared" si="13"/>
        <v>20.7295594129517</v>
      </c>
      <c r="AF18" s="34">
        <f>AVERAGE(U18:U20)</f>
        <v>60297.23991507429</v>
      </c>
      <c r="AG18" s="34">
        <f>STDEV(U18:U20)/SQRT(3)</f>
        <v>9229.980921745111</v>
      </c>
      <c r="AH18" s="35">
        <f>AVERAGE(Z18:Z20)</f>
        <v>4.899304669236493</v>
      </c>
      <c r="AI18" s="35">
        <f>STDEV(Z18:Z20)/SQRT(3)</f>
        <v>0.9357158992828403</v>
      </c>
      <c r="AJ18" s="35">
        <f>AVERAGE(AE18:AE20)</f>
        <v>30.102016627067684</v>
      </c>
      <c r="AK18" s="35">
        <f>STDEV(AE18:AE20)/SQRT(3)</f>
        <v>7.56262063464973</v>
      </c>
      <c r="AM18" s="3">
        <v>3.8779783894551656</v>
      </c>
    </row>
    <row r="19" spans="1:39" ht="12.75">
      <c r="A19" s="1">
        <v>3</v>
      </c>
      <c r="B19" s="1" t="s">
        <v>11</v>
      </c>
      <c r="C19" s="1">
        <v>2</v>
      </c>
      <c r="D19" s="1">
        <v>23</v>
      </c>
      <c r="E19" s="1">
        <v>65</v>
      </c>
      <c r="F19" s="1">
        <v>17</v>
      </c>
      <c r="G19" s="1">
        <v>49</v>
      </c>
      <c r="H19" s="2" t="s">
        <v>286</v>
      </c>
      <c r="I19" s="9">
        <v>7.4332</v>
      </c>
      <c r="J19" s="9">
        <v>9.1972</v>
      </c>
      <c r="K19" s="9">
        <v>8.9323</v>
      </c>
      <c r="L19" s="10">
        <f t="shared" si="14"/>
        <v>15.017006802721133</v>
      </c>
      <c r="M19" s="10"/>
      <c r="N19" s="1">
        <v>6.87</v>
      </c>
      <c r="O19" s="1">
        <v>27.86</v>
      </c>
      <c r="P19" s="3">
        <f t="shared" si="15"/>
        <v>22.753999999999998</v>
      </c>
      <c r="Q19" s="21">
        <f t="shared" si="0"/>
        <v>11719.745222929934</v>
      </c>
      <c r="R19" s="21">
        <f t="shared" si="1"/>
        <v>33121.01910828025</v>
      </c>
      <c r="S19" s="21">
        <f t="shared" si="2"/>
        <v>8662.420382165605</v>
      </c>
      <c r="T19" s="21">
        <f t="shared" si="3"/>
        <v>24968.152866242035</v>
      </c>
      <c r="U19" s="21">
        <f t="shared" si="4"/>
        <v>78471.33757961783</v>
      </c>
      <c r="V19" s="24">
        <f t="shared" si="16"/>
        <v>1.0108112859277492</v>
      </c>
      <c r="W19" s="24">
        <f t="shared" si="5"/>
        <v>2.856640590665378</v>
      </c>
      <c r="X19" s="24">
        <f t="shared" si="6"/>
        <v>0.747121385250945</v>
      </c>
      <c r="Y19" s="24">
        <f t="shared" si="7"/>
        <v>2.1534675221939</v>
      </c>
      <c r="Z19" s="24">
        <f t="shared" si="8"/>
        <v>6.7680407840379715</v>
      </c>
      <c r="AA19" s="24">
        <f t="shared" si="9"/>
        <v>6.731110261897109</v>
      </c>
      <c r="AB19" s="24">
        <f t="shared" si="10"/>
        <v>19.022702914057046</v>
      </c>
      <c r="AC19" s="24">
        <f t="shared" si="11"/>
        <v>4.975168454445689</v>
      </c>
      <c r="AD19" s="24">
        <f t="shared" si="12"/>
        <v>14.340191427519926</v>
      </c>
      <c r="AE19" s="24">
        <f t="shared" si="13"/>
        <v>45.06917305791977</v>
      </c>
      <c r="AF19" s="34"/>
      <c r="AG19" s="34"/>
      <c r="AH19" s="35"/>
      <c r="AI19" s="35"/>
      <c r="AJ19" s="35"/>
      <c r="AK19" s="35"/>
      <c r="AM19" s="1">
        <v>19.413742200389517</v>
      </c>
    </row>
    <row r="20" spans="1:39" ht="12.75">
      <c r="A20" s="1">
        <v>3</v>
      </c>
      <c r="B20" s="1" t="s">
        <v>11</v>
      </c>
      <c r="C20" s="1">
        <v>3</v>
      </c>
      <c r="D20" s="1">
        <v>24</v>
      </c>
      <c r="E20" s="1">
        <v>22</v>
      </c>
      <c r="F20" s="1">
        <v>6</v>
      </c>
      <c r="G20" s="1">
        <v>43</v>
      </c>
      <c r="H20" s="2" t="s">
        <v>287</v>
      </c>
      <c r="I20" s="9">
        <v>8.612</v>
      </c>
      <c r="J20" s="9">
        <v>10.2393</v>
      </c>
      <c r="K20" s="9">
        <v>9.9818</v>
      </c>
      <c r="L20" s="10">
        <f t="shared" si="14"/>
        <v>15.823757143735039</v>
      </c>
      <c r="M20" s="10"/>
      <c r="N20" s="1">
        <v>6.85</v>
      </c>
      <c r="O20" s="1">
        <v>29.72</v>
      </c>
      <c r="P20" s="3">
        <f t="shared" si="15"/>
        <v>24.497299999999996</v>
      </c>
      <c r="Q20" s="21">
        <f aca="true" t="shared" si="17" ref="Q20:Q32">D20/((0.025*0.025)*3.14)</f>
        <v>12229.299363057324</v>
      </c>
      <c r="R20" s="21">
        <f aca="true" t="shared" si="18" ref="R20:R32">E20/((0.025*0.025)*3.14)</f>
        <v>11210.191082802547</v>
      </c>
      <c r="S20" s="21">
        <f aca="true" t="shared" si="19" ref="S20:S32">F20/((0.025*0.025)*3.14)</f>
        <v>3057.324840764331</v>
      </c>
      <c r="T20" s="21">
        <f aca="true" t="shared" si="20" ref="T20:T32">G20/((0.025*0.025)*3.14)</f>
        <v>21910.828025477706</v>
      </c>
      <c r="U20" s="21">
        <f aca="true" t="shared" si="21" ref="U20:U32">SUM(Q20:T20)</f>
        <v>48407.64331210191</v>
      </c>
      <c r="V20" s="24">
        <f aca="true" t="shared" si="22" ref="V20:V32">D20/$P20</f>
        <v>0.9796998036518312</v>
      </c>
      <c r="W20" s="24">
        <f aca="true" t="shared" si="23" ref="W20:W32">E20/$P20</f>
        <v>0.8980581533475119</v>
      </c>
      <c r="X20" s="24">
        <f aca="true" t="shared" si="24" ref="X20:X32">F20/$P20</f>
        <v>0.2449249509129578</v>
      </c>
      <c r="Y20" s="24">
        <f aca="true" t="shared" si="25" ref="Y20:Y32">G20/$P20</f>
        <v>1.7552954815428643</v>
      </c>
      <c r="Z20" s="24">
        <f aca="true" t="shared" si="26" ref="Z20:Z32">SUM(V20:Y20)</f>
        <v>3.8779783894551656</v>
      </c>
      <c r="AA20" s="24">
        <f aca="true" t="shared" si="27" ref="AA20:AA32">D20/($P20*($L20/100))</f>
        <v>6.1913222931364</v>
      </c>
      <c r="AB20" s="24">
        <f aca="true" t="shared" si="28" ref="AB20:AB32">E20/($P20*($L20/100))</f>
        <v>5.6753787687083666</v>
      </c>
      <c r="AC20" s="24">
        <f aca="true" t="shared" si="29" ref="AC20:AC32">F20/($P20*($L20/100))</f>
        <v>1.5478305732841</v>
      </c>
      <c r="AD20" s="24">
        <f aca="true" t="shared" si="30" ref="AD20:AD32">G20/($P20*($L20/100))</f>
        <v>11.092785775202715</v>
      </c>
      <c r="AE20" s="24">
        <f aca="true" t="shared" si="31" ref="AE20:AE32">SUM(AA20:AD20)</f>
        <v>24.50731741033158</v>
      </c>
      <c r="AF20" s="34"/>
      <c r="AG20" s="34"/>
      <c r="AH20" s="35"/>
      <c r="AI20" s="35"/>
      <c r="AJ20" s="35"/>
      <c r="AK20" s="35"/>
      <c r="AM20" s="1">
        <v>1.043684728935507</v>
      </c>
    </row>
    <row r="21" spans="1:39" s="3" customFormat="1" ht="12.75">
      <c r="A21" s="3">
        <v>4</v>
      </c>
      <c r="B21" s="3" t="s">
        <v>9</v>
      </c>
      <c r="C21" s="3">
        <v>1</v>
      </c>
      <c r="D21" s="3">
        <v>4</v>
      </c>
      <c r="E21" s="3">
        <v>13</v>
      </c>
      <c r="F21" s="3">
        <v>1</v>
      </c>
      <c r="G21" s="3">
        <v>4</v>
      </c>
      <c r="H21" s="4" t="s">
        <v>288</v>
      </c>
      <c r="I21" s="9">
        <v>9.7165</v>
      </c>
      <c r="J21" s="9">
        <v>10.7075</v>
      </c>
      <c r="K21" s="9">
        <v>10.1991</v>
      </c>
      <c r="L21" s="10">
        <f t="shared" si="14"/>
        <v>51.301715438950566</v>
      </c>
      <c r="M21" s="10">
        <f>AVERAGE(L21:L23)</f>
        <v>39.45653899302928</v>
      </c>
      <c r="N21" s="3">
        <v>6.9</v>
      </c>
      <c r="O21" s="3">
        <v>15.84</v>
      </c>
      <c r="P21" s="3">
        <f t="shared" si="15"/>
        <v>9.931</v>
      </c>
      <c r="Q21" s="21">
        <f t="shared" si="17"/>
        <v>2038.2165605095538</v>
      </c>
      <c r="R21" s="21">
        <f t="shared" si="18"/>
        <v>6624.20382165605</v>
      </c>
      <c r="S21" s="21">
        <f t="shared" si="19"/>
        <v>509.55414012738845</v>
      </c>
      <c r="T21" s="21">
        <f t="shared" si="20"/>
        <v>2038.2165605095538</v>
      </c>
      <c r="U21" s="21">
        <f t="shared" si="21"/>
        <v>11210.191082802547</v>
      </c>
      <c r="V21" s="24">
        <f t="shared" si="22"/>
        <v>0.40277917631658444</v>
      </c>
      <c r="W21" s="24">
        <f t="shared" si="23"/>
        <v>1.3090323230288996</v>
      </c>
      <c r="X21" s="24">
        <f t="shared" si="24"/>
        <v>0.10069479407914611</v>
      </c>
      <c r="Y21" s="24">
        <f t="shared" si="25"/>
        <v>0.40277917631658444</v>
      </c>
      <c r="Z21" s="24">
        <f t="shared" si="26"/>
        <v>2.2152854697412145</v>
      </c>
      <c r="AA21" s="24">
        <f t="shared" si="27"/>
        <v>0.7851183393582516</v>
      </c>
      <c r="AB21" s="24">
        <f t="shared" si="28"/>
        <v>2.551634602914318</v>
      </c>
      <c r="AC21" s="24">
        <f t="shared" si="29"/>
        <v>0.1962795848395629</v>
      </c>
      <c r="AD21" s="24">
        <f t="shared" si="30"/>
        <v>0.7851183393582516</v>
      </c>
      <c r="AE21" s="24">
        <f t="shared" si="31"/>
        <v>4.3181508664703845</v>
      </c>
      <c r="AF21" s="34">
        <f>AVERAGE(U21:U23)</f>
        <v>48577.49469214437</v>
      </c>
      <c r="AG21" s="34">
        <f>STDEV(U21:U23)/SQRT(3)</f>
        <v>36858.92353839547</v>
      </c>
      <c r="AH21" s="35">
        <f>AVERAGE(Z21:Z23)</f>
        <v>7.100366510371678</v>
      </c>
      <c r="AI21" s="35">
        <f>STDEV(Z21:Z23)/SQRT(3)</f>
        <v>5.227130716243579</v>
      </c>
      <c r="AJ21" s="35">
        <f>AVERAGE(AE21:AE23)</f>
        <v>23.637758017834177</v>
      </c>
      <c r="AK21" s="35">
        <f>STDEV(AE21:AE23)/SQRT(3)</f>
        <v>19.509713728857665</v>
      </c>
      <c r="AM21" s="3">
        <v>18.546591599096217</v>
      </c>
    </row>
    <row r="22" spans="1:39" ht="12.75">
      <c r="A22" s="1">
        <v>4</v>
      </c>
      <c r="B22" s="1" t="s">
        <v>9</v>
      </c>
      <c r="C22" s="1">
        <v>2</v>
      </c>
      <c r="D22" s="1">
        <v>5</v>
      </c>
      <c r="E22" s="1">
        <v>7</v>
      </c>
      <c r="F22" s="1">
        <v>0</v>
      </c>
      <c r="G22" s="1">
        <v>12</v>
      </c>
      <c r="H22" s="2" t="s">
        <v>289</v>
      </c>
      <c r="I22" s="9">
        <v>9.2646</v>
      </c>
      <c r="J22" s="9">
        <v>10.2543</v>
      </c>
      <c r="K22" s="9">
        <v>9.8677</v>
      </c>
      <c r="L22" s="10">
        <f t="shared" si="14"/>
        <v>39.06234212387603</v>
      </c>
      <c r="M22" s="10"/>
      <c r="N22" s="1">
        <v>6.91</v>
      </c>
      <c r="O22" s="1">
        <v>21.52</v>
      </c>
      <c r="P22" s="3">
        <f t="shared" si="15"/>
        <v>15.5997</v>
      </c>
      <c r="Q22" s="21">
        <f t="shared" si="17"/>
        <v>2547.7707006369424</v>
      </c>
      <c r="R22" s="21">
        <f t="shared" si="18"/>
        <v>3566.878980891719</v>
      </c>
      <c r="S22" s="21">
        <f t="shared" si="19"/>
        <v>0</v>
      </c>
      <c r="T22" s="21">
        <f t="shared" si="20"/>
        <v>6114.649681528662</v>
      </c>
      <c r="U22" s="21">
        <f t="shared" si="21"/>
        <v>12229.299363057322</v>
      </c>
      <c r="V22" s="24">
        <f t="shared" si="22"/>
        <v>0.3205189843394424</v>
      </c>
      <c r="W22" s="24">
        <f t="shared" si="23"/>
        <v>0.4487265780752194</v>
      </c>
      <c r="X22" s="24">
        <f t="shared" si="24"/>
        <v>0</v>
      </c>
      <c r="Y22" s="24">
        <f t="shared" si="25"/>
        <v>0.7692455624146618</v>
      </c>
      <c r="Z22" s="24">
        <f t="shared" si="26"/>
        <v>1.5384911248293236</v>
      </c>
      <c r="AA22" s="24">
        <f t="shared" si="27"/>
        <v>0.8205319161943749</v>
      </c>
      <c r="AB22" s="24">
        <f t="shared" si="28"/>
        <v>1.1487446826721248</v>
      </c>
      <c r="AC22" s="24">
        <f t="shared" si="29"/>
        <v>0</v>
      </c>
      <c r="AD22" s="24">
        <f t="shared" si="30"/>
        <v>1.9692765988664998</v>
      </c>
      <c r="AE22" s="24">
        <f t="shared" si="31"/>
        <v>3.9385531977329995</v>
      </c>
      <c r="AF22" s="34"/>
      <c r="AG22" s="34"/>
      <c r="AH22" s="35"/>
      <c r="AI22" s="35"/>
      <c r="AJ22" s="35"/>
      <c r="AK22" s="35"/>
      <c r="AM22" s="1">
        <v>10.670846868625825</v>
      </c>
    </row>
    <row r="23" spans="1:39" ht="12.75">
      <c r="A23" s="1">
        <v>4</v>
      </c>
      <c r="B23" s="1" t="s">
        <v>9</v>
      </c>
      <c r="C23" s="1">
        <v>3</v>
      </c>
      <c r="D23" s="1">
        <v>61</v>
      </c>
      <c r="E23" s="1">
        <v>75</v>
      </c>
      <c r="F23" s="1">
        <v>21</v>
      </c>
      <c r="G23" s="1">
        <v>83</v>
      </c>
      <c r="H23" s="2" t="s">
        <v>290</v>
      </c>
      <c r="I23" s="9">
        <v>7.7974</v>
      </c>
      <c r="J23" s="9">
        <v>8.8047</v>
      </c>
      <c r="K23" s="9">
        <v>8.5226</v>
      </c>
      <c r="L23" s="10">
        <f t="shared" si="14"/>
        <v>28.005559416261253</v>
      </c>
      <c r="M23" s="10"/>
      <c r="N23" s="1">
        <v>6.82</v>
      </c>
      <c r="O23" s="1">
        <v>19.49</v>
      </c>
      <c r="P23" s="3">
        <f t="shared" si="15"/>
        <v>13.677299999999999</v>
      </c>
      <c r="Q23" s="21">
        <f t="shared" si="17"/>
        <v>31082.802547770698</v>
      </c>
      <c r="R23" s="21">
        <f t="shared" si="18"/>
        <v>38216.56050955413</v>
      </c>
      <c r="S23" s="21">
        <f t="shared" si="19"/>
        <v>10700.636942675157</v>
      </c>
      <c r="T23" s="21">
        <f t="shared" si="20"/>
        <v>42292.99363057324</v>
      </c>
      <c r="U23" s="21">
        <f t="shared" si="21"/>
        <v>122292.99363057324</v>
      </c>
      <c r="V23" s="24">
        <f t="shared" si="22"/>
        <v>4.459944579705059</v>
      </c>
      <c r="W23" s="24">
        <f t="shared" si="23"/>
        <v>5.483538417670155</v>
      </c>
      <c r="X23" s="24">
        <f t="shared" si="24"/>
        <v>1.5353907569476433</v>
      </c>
      <c r="Y23" s="24">
        <f t="shared" si="25"/>
        <v>6.068449182221638</v>
      </c>
      <c r="Z23" s="24">
        <f t="shared" si="26"/>
        <v>17.547322936544496</v>
      </c>
      <c r="AA23" s="24">
        <f t="shared" si="27"/>
        <v>15.925211538946868</v>
      </c>
      <c r="AB23" s="24">
        <f t="shared" si="28"/>
        <v>19.580178121655987</v>
      </c>
      <c r="AC23" s="24">
        <f t="shared" si="29"/>
        <v>5.4824498740636765</v>
      </c>
      <c r="AD23" s="24">
        <f t="shared" si="30"/>
        <v>21.668730454632627</v>
      </c>
      <c r="AE23" s="24">
        <f t="shared" si="31"/>
        <v>62.65656998929916</v>
      </c>
      <c r="AF23" s="34"/>
      <c r="AG23" s="34"/>
      <c r="AH23" s="35"/>
      <c r="AI23" s="35"/>
      <c r="AJ23" s="35"/>
      <c r="AK23" s="35"/>
      <c r="AM23" s="1">
        <v>7.19962731340966</v>
      </c>
    </row>
    <row r="24" spans="1:39" s="3" customFormat="1" ht="12.75">
      <c r="A24" s="3">
        <v>4</v>
      </c>
      <c r="B24" s="3" t="s">
        <v>11</v>
      </c>
      <c r="C24" s="3">
        <v>1</v>
      </c>
      <c r="D24" s="3">
        <v>65</v>
      </c>
      <c r="E24" s="3">
        <v>147</v>
      </c>
      <c r="F24" s="3">
        <v>10</v>
      </c>
      <c r="G24" s="3">
        <v>91</v>
      </c>
      <c r="H24" s="4" t="s">
        <v>291</v>
      </c>
      <c r="I24" s="9">
        <v>8.9669</v>
      </c>
      <c r="J24" s="9">
        <v>10.0595</v>
      </c>
      <c r="K24" s="9">
        <v>9.8026</v>
      </c>
      <c r="L24" s="10">
        <f t="shared" si="14"/>
        <v>23.512721947647822</v>
      </c>
      <c r="M24" s="10">
        <f>AVERAGE(L24:L26)</f>
        <v>25.20974763435332</v>
      </c>
      <c r="N24" s="3">
        <v>6.78</v>
      </c>
      <c r="O24" s="3">
        <v>21.81</v>
      </c>
      <c r="P24" s="3">
        <f t="shared" si="15"/>
        <v>16.1226</v>
      </c>
      <c r="Q24" s="21">
        <f t="shared" si="17"/>
        <v>33121.01910828025</v>
      </c>
      <c r="R24" s="21">
        <f t="shared" si="18"/>
        <v>74904.45859872611</v>
      </c>
      <c r="S24" s="21">
        <f t="shared" si="19"/>
        <v>5095.541401273885</v>
      </c>
      <c r="T24" s="21">
        <f t="shared" si="20"/>
        <v>46369.42675159235</v>
      </c>
      <c r="U24" s="21">
        <f t="shared" si="21"/>
        <v>159490.4458598726</v>
      </c>
      <c r="V24" s="24">
        <f t="shared" si="22"/>
        <v>4.031607805192711</v>
      </c>
      <c r="W24" s="24">
        <f t="shared" si="23"/>
        <v>9.117636113281979</v>
      </c>
      <c r="X24" s="24">
        <f t="shared" si="24"/>
        <v>0.6202473546450324</v>
      </c>
      <c r="Y24" s="24">
        <f t="shared" si="25"/>
        <v>5.644250927269796</v>
      </c>
      <c r="Z24" s="24">
        <f t="shared" si="26"/>
        <v>19.413742200389517</v>
      </c>
      <c r="AA24" s="24">
        <f t="shared" si="27"/>
        <v>17.146495476658448</v>
      </c>
      <c r="AB24" s="24">
        <f t="shared" si="28"/>
        <v>38.77745900105833</v>
      </c>
      <c r="AC24" s="24">
        <f t="shared" si="29"/>
        <v>2.637922381024376</v>
      </c>
      <c r="AD24" s="24">
        <f t="shared" si="30"/>
        <v>24.005093667321823</v>
      </c>
      <c r="AE24" s="24">
        <f t="shared" si="31"/>
        <v>82.56697052606297</v>
      </c>
      <c r="AF24" s="34">
        <f>AVERAGE(U24:U26)</f>
        <v>132144.37367303608</v>
      </c>
      <c r="AG24" s="34">
        <f>STDEV(U24:U26)/SQRT(3)</f>
        <v>65143.48487837224</v>
      </c>
      <c r="AH24" s="35">
        <f>AVERAGE(Z24:Z26)</f>
        <v>13.001339509473747</v>
      </c>
      <c r="AI24" s="35">
        <f>STDEV(Z24:Z26)/SQRT(3)</f>
        <v>5.984065463914078</v>
      </c>
      <c r="AJ24" s="35">
        <f>AVERAGE(AE24:AE26)</f>
        <v>66.07770274096212</v>
      </c>
      <c r="AK24" s="35">
        <f>STDEV(AE24:AE26)/SQRT(3)</f>
        <v>32.755028791101836</v>
      </c>
      <c r="AM24" s="3">
        <v>20.978776471136698</v>
      </c>
    </row>
    <row r="25" spans="1:37" ht="12.75">
      <c r="A25" s="1">
        <v>4</v>
      </c>
      <c r="B25" s="1" t="s">
        <v>11</v>
      </c>
      <c r="C25" s="1">
        <v>2</v>
      </c>
      <c r="D25" s="1">
        <v>4</v>
      </c>
      <c r="E25" s="1">
        <v>6</v>
      </c>
      <c r="F25" s="1">
        <v>0</v>
      </c>
      <c r="G25" s="1">
        <v>6</v>
      </c>
      <c r="H25" s="2" t="s">
        <v>292</v>
      </c>
      <c r="I25" s="9">
        <v>8.4717</v>
      </c>
      <c r="J25" s="9">
        <v>9.222</v>
      </c>
      <c r="K25" s="9">
        <v>8.9544</v>
      </c>
      <c r="L25" s="10">
        <f t="shared" si="14"/>
        <v>35.66573370651741</v>
      </c>
      <c r="M25" s="10"/>
      <c r="N25" s="1">
        <v>6.83</v>
      </c>
      <c r="O25" s="1">
        <v>21.41</v>
      </c>
      <c r="P25" s="3">
        <f t="shared" si="15"/>
        <v>15.3303</v>
      </c>
      <c r="Q25" s="21">
        <f t="shared" si="17"/>
        <v>2038.2165605095538</v>
      </c>
      <c r="R25" s="21">
        <f t="shared" si="18"/>
        <v>3057.324840764331</v>
      </c>
      <c r="S25" s="21">
        <f t="shared" si="19"/>
        <v>0</v>
      </c>
      <c r="T25" s="21">
        <f t="shared" si="20"/>
        <v>3057.324840764331</v>
      </c>
      <c r="U25" s="21">
        <f t="shared" si="21"/>
        <v>8152.866242038215</v>
      </c>
      <c r="V25" s="24">
        <f t="shared" si="22"/>
        <v>0.2609211822338767</v>
      </c>
      <c r="W25" s="24">
        <f t="shared" si="23"/>
        <v>0.3913817733508151</v>
      </c>
      <c r="X25" s="24">
        <f t="shared" si="24"/>
        <v>0</v>
      </c>
      <c r="Y25" s="24">
        <f t="shared" si="25"/>
        <v>0.3913817733508151</v>
      </c>
      <c r="Z25" s="24">
        <f t="shared" si="26"/>
        <v>1.043684728935507</v>
      </c>
      <c r="AA25" s="24">
        <f t="shared" si="27"/>
        <v>0.731573852877719</v>
      </c>
      <c r="AB25" s="24">
        <f t="shared" si="28"/>
        <v>1.0973607793165785</v>
      </c>
      <c r="AC25" s="24">
        <f t="shared" si="29"/>
        <v>0</v>
      </c>
      <c r="AD25" s="24">
        <f t="shared" si="30"/>
        <v>1.0973607793165785</v>
      </c>
      <c r="AE25" s="24">
        <f t="shared" si="31"/>
        <v>2.926295411510876</v>
      </c>
      <c r="AF25" s="34"/>
      <c r="AG25" s="34"/>
      <c r="AH25" s="35"/>
      <c r="AI25" s="35"/>
      <c r="AJ25" s="35"/>
      <c r="AK25" s="35"/>
    </row>
    <row r="26" spans="1:37" ht="12.75">
      <c r="A26" s="1">
        <v>4</v>
      </c>
      <c r="B26" s="1" t="s">
        <v>11</v>
      </c>
      <c r="C26" s="1">
        <v>3</v>
      </c>
      <c r="D26" s="1">
        <v>170</v>
      </c>
      <c r="E26" s="1">
        <v>145</v>
      </c>
      <c r="F26" s="1">
        <v>29</v>
      </c>
      <c r="G26" s="1">
        <v>105</v>
      </c>
      <c r="H26" s="2" t="s">
        <v>293</v>
      </c>
      <c r="I26" s="9">
        <v>8.005</v>
      </c>
      <c r="J26" s="9">
        <v>9.2943</v>
      </c>
      <c r="K26" s="9">
        <v>9.0822</v>
      </c>
      <c r="L26" s="10">
        <f t="shared" si="14"/>
        <v>16.450787248894724</v>
      </c>
      <c r="M26" s="10"/>
      <c r="N26" s="1">
        <v>6.96</v>
      </c>
      <c r="O26" s="1">
        <v>29.88</v>
      </c>
      <c r="P26" s="3">
        <f t="shared" si="15"/>
        <v>24.2093</v>
      </c>
      <c r="Q26" s="21">
        <f t="shared" si="17"/>
        <v>86624.20382165603</v>
      </c>
      <c r="R26" s="21">
        <f t="shared" si="18"/>
        <v>73885.35031847133</v>
      </c>
      <c r="S26" s="21">
        <f t="shared" si="19"/>
        <v>14777.070063694266</v>
      </c>
      <c r="T26" s="21">
        <f t="shared" si="20"/>
        <v>53503.18471337579</v>
      </c>
      <c r="U26" s="21">
        <f t="shared" si="21"/>
        <v>228789.80891719743</v>
      </c>
      <c r="V26" s="24">
        <f t="shared" si="22"/>
        <v>7.022094814802577</v>
      </c>
      <c r="W26" s="24">
        <f t="shared" si="23"/>
        <v>5.989433812625727</v>
      </c>
      <c r="X26" s="24">
        <f t="shared" si="24"/>
        <v>1.1978867625251453</v>
      </c>
      <c r="Y26" s="24">
        <f t="shared" si="25"/>
        <v>4.3371762091427675</v>
      </c>
      <c r="Z26" s="24">
        <f t="shared" si="26"/>
        <v>18.546591599096217</v>
      </c>
      <c r="AA26" s="24">
        <f t="shared" si="27"/>
        <v>42.68546367149918</v>
      </c>
      <c r="AB26" s="24">
        <f t="shared" si="28"/>
        <v>36.40818960216106</v>
      </c>
      <c r="AC26" s="24">
        <f t="shared" si="29"/>
        <v>7.281637920432212</v>
      </c>
      <c r="AD26" s="24">
        <f t="shared" si="30"/>
        <v>26.36455109122008</v>
      </c>
      <c r="AE26" s="24">
        <f t="shared" si="31"/>
        <v>112.73984228531253</v>
      </c>
      <c r="AF26" s="34"/>
      <c r="AG26" s="34"/>
      <c r="AH26" s="35"/>
      <c r="AI26" s="35"/>
      <c r="AJ26" s="35"/>
      <c r="AK26" s="35"/>
    </row>
    <row r="27" spans="1:37" s="3" customFormat="1" ht="12.75">
      <c r="A27" s="3">
        <v>5</v>
      </c>
      <c r="B27" s="3" t="s">
        <v>9</v>
      </c>
      <c r="C27" s="3">
        <v>1</v>
      </c>
      <c r="D27" s="3">
        <v>45</v>
      </c>
      <c r="E27" s="3">
        <v>40</v>
      </c>
      <c r="F27" s="3">
        <v>3</v>
      </c>
      <c r="G27" s="3">
        <v>17</v>
      </c>
      <c r="H27" s="4" t="s">
        <v>294</v>
      </c>
      <c r="I27" s="9">
        <v>6.6338</v>
      </c>
      <c r="J27" s="9">
        <v>6.9309</v>
      </c>
      <c r="K27" s="9">
        <v>6.66</v>
      </c>
      <c r="L27" s="10">
        <f t="shared" si="14"/>
        <v>91.1814203971726</v>
      </c>
      <c r="M27" s="10">
        <f>AVERAGE(L27:L29)</f>
        <v>79.09913943889536</v>
      </c>
      <c r="N27" s="3">
        <v>7.03</v>
      </c>
      <c r="O27" s="3">
        <v>12.13</v>
      </c>
      <c r="P27" s="3">
        <f t="shared" si="15"/>
        <v>5.397100000000001</v>
      </c>
      <c r="Q27" s="21">
        <f t="shared" si="17"/>
        <v>22929.93630573248</v>
      </c>
      <c r="R27" s="21">
        <f t="shared" si="18"/>
        <v>20382.16560509554</v>
      </c>
      <c r="S27" s="21">
        <f t="shared" si="19"/>
        <v>1528.6624203821655</v>
      </c>
      <c r="T27" s="21">
        <f t="shared" si="20"/>
        <v>8662.420382165605</v>
      </c>
      <c r="U27" s="21">
        <f t="shared" si="21"/>
        <v>53503.184713375784</v>
      </c>
      <c r="V27" s="24">
        <f t="shared" si="22"/>
        <v>8.337811046673211</v>
      </c>
      <c r="W27" s="24">
        <f t="shared" si="23"/>
        <v>7.4113875970428555</v>
      </c>
      <c r="X27" s="24">
        <f t="shared" si="24"/>
        <v>0.5558540697782142</v>
      </c>
      <c r="Y27" s="24">
        <f t="shared" si="25"/>
        <v>3.1498397287432134</v>
      </c>
      <c r="Z27" s="24">
        <f t="shared" si="26"/>
        <v>19.454892442237494</v>
      </c>
      <c r="AA27" s="24">
        <f t="shared" si="27"/>
        <v>9.14419956429167</v>
      </c>
      <c r="AB27" s="24">
        <f t="shared" si="28"/>
        <v>8.128177390481484</v>
      </c>
      <c r="AC27" s="24">
        <f t="shared" si="29"/>
        <v>0.6096133042861114</v>
      </c>
      <c r="AD27" s="24">
        <f t="shared" si="30"/>
        <v>3.454475390954631</v>
      </c>
      <c r="AE27" s="24">
        <f t="shared" si="31"/>
        <v>21.336465650013896</v>
      </c>
      <c r="AF27" s="34">
        <f>AVERAGE(U27:U29)</f>
        <v>119575.37154989383</v>
      </c>
      <c r="AG27" s="34">
        <f>STDEV(U27:U29)/SQRT(3)</f>
        <v>39323.07063688617</v>
      </c>
      <c r="AH27" s="35">
        <f>AVERAGE(Z27:Z29)</f>
        <v>27.461269789416022</v>
      </c>
      <c r="AI27" s="35">
        <f>STDEV(Z27:Z29)/SQRT(3)</f>
        <v>9.485290313563443</v>
      </c>
      <c r="AJ27" s="35">
        <f>AVERAGE(AE27:AE29)</f>
        <v>36.02285079292878</v>
      </c>
      <c r="AK27" s="35">
        <f>STDEV(AE27:AE29)/SQRT(3)</f>
        <v>14.17599497806609</v>
      </c>
    </row>
    <row r="28" spans="1:37" ht="12.75">
      <c r="A28" s="1">
        <v>5</v>
      </c>
      <c r="B28" s="1" t="s">
        <v>9</v>
      </c>
      <c r="C28" s="1">
        <v>2</v>
      </c>
      <c r="D28" s="1">
        <v>78</v>
      </c>
      <c r="E28" s="1">
        <v>149</v>
      </c>
      <c r="F28" s="1">
        <v>27</v>
      </c>
      <c r="G28" s="1">
        <v>118</v>
      </c>
      <c r="H28" s="2" t="s">
        <v>295</v>
      </c>
      <c r="I28" s="9">
        <v>8.5805</v>
      </c>
      <c r="J28" s="9">
        <v>9.2249</v>
      </c>
      <c r="K28" s="9">
        <v>8.7608</v>
      </c>
      <c r="L28" s="10">
        <f t="shared" si="14"/>
        <v>72.02048417132228</v>
      </c>
      <c r="M28" s="10"/>
      <c r="N28" s="1">
        <v>6.82</v>
      </c>
      <c r="O28" s="1">
        <v>14.2</v>
      </c>
      <c r="P28" s="3">
        <f t="shared" si="15"/>
        <v>8.024399999999998</v>
      </c>
      <c r="Q28" s="21">
        <f t="shared" si="17"/>
        <v>39745.2229299363</v>
      </c>
      <c r="R28" s="21">
        <f t="shared" si="18"/>
        <v>75923.56687898088</v>
      </c>
      <c r="S28" s="21">
        <f t="shared" si="19"/>
        <v>13757.961783439488</v>
      </c>
      <c r="T28" s="21">
        <f t="shared" si="20"/>
        <v>60127.38853503184</v>
      </c>
      <c r="U28" s="21">
        <f t="shared" si="21"/>
        <v>189554.1401273885</v>
      </c>
      <c r="V28" s="24">
        <f t="shared" si="22"/>
        <v>9.720352923583073</v>
      </c>
      <c r="W28" s="24">
        <f t="shared" si="23"/>
        <v>18.568366482229205</v>
      </c>
      <c r="X28" s="24">
        <f t="shared" si="24"/>
        <v>3.364737550471064</v>
      </c>
      <c r="Y28" s="24">
        <f t="shared" si="25"/>
        <v>14.705149294651317</v>
      </c>
      <c r="Z28" s="24">
        <f t="shared" si="26"/>
        <v>46.358606250934656</v>
      </c>
      <c r="AA28" s="24">
        <f t="shared" si="27"/>
        <v>13.496650342505758</v>
      </c>
      <c r="AB28" s="24">
        <f t="shared" si="28"/>
        <v>25.782062833761</v>
      </c>
      <c r="AC28" s="24">
        <f t="shared" si="29"/>
        <v>4.671917426251993</v>
      </c>
      <c r="AD28" s="24">
        <f t="shared" si="30"/>
        <v>20.41800949250871</v>
      </c>
      <c r="AE28" s="24">
        <f t="shared" si="31"/>
        <v>64.36864009502746</v>
      </c>
      <c r="AF28" s="34"/>
      <c r="AG28" s="34"/>
      <c r="AH28" s="35"/>
      <c r="AI28" s="35"/>
      <c r="AJ28" s="35"/>
      <c r="AK28" s="35"/>
    </row>
    <row r="29" spans="1:37" ht="12.75">
      <c r="A29" s="1">
        <v>5</v>
      </c>
      <c r="B29" s="1" t="s">
        <v>9</v>
      </c>
      <c r="C29" s="1">
        <v>3</v>
      </c>
      <c r="D29" s="1">
        <v>36</v>
      </c>
      <c r="E29" s="1">
        <v>142</v>
      </c>
      <c r="F29" s="1">
        <v>10</v>
      </c>
      <c r="G29" s="1">
        <v>39</v>
      </c>
      <c r="H29" s="2" t="s">
        <v>296</v>
      </c>
      <c r="I29" s="9">
        <v>8.4883</v>
      </c>
      <c r="J29" s="9">
        <v>9.3175</v>
      </c>
      <c r="K29" s="9">
        <v>8.7031</v>
      </c>
      <c r="L29" s="10">
        <f t="shared" si="14"/>
        <v>74.09551374819121</v>
      </c>
      <c r="M29" s="10"/>
      <c r="N29" s="1">
        <v>6.91</v>
      </c>
      <c r="O29" s="1">
        <v>19.78</v>
      </c>
      <c r="P29" s="3">
        <f t="shared" si="15"/>
        <v>13.699200000000001</v>
      </c>
      <c r="Q29" s="21">
        <f t="shared" si="17"/>
        <v>18343.949044585985</v>
      </c>
      <c r="R29" s="21">
        <f t="shared" si="18"/>
        <v>72356.68789808916</v>
      </c>
      <c r="S29" s="21">
        <f t="shared" si="19"/>
        <v>5095.541401273885</v>
      </c>
      <c r="T29" s="21">
        <f t="shared" si="20"/>
        <v>19872.61146496815</v>
      </c>
      <c r="U29" s="21">
        <f t="shared" si="21"/>
        <v>115668.7898089172</v>
      </c>
      <c r="V29" s="24">
        <f t="shared" si="22"/>
        <v>2.6278906797477224</v>
      </c>
      <c r="W29" s="24">
        <f t="shared" si="23"/>
        <v>10.365568792338237</v>
      </c>
      <c r="X29" s="24">
        <f t="shared" si="24"/>
        <v>0.7299696332632561</v>
      </c>
      <c r="Y29" s="24">
        <f t="shared" si="25"/>
        <v>2.846881569726699</v>
      </c>
      <c r="Z29" s="24">
        <f t="shared" si="26"/>
        <v>16.570310675075913</v>
      </c>
      <c r="AA29" s="24">
        <f t="shared" si="27"/>
        <v>3.5466258978626395</v>
      </c>
      <c r="AB29" s="24">
        <f t="shared" si="28"/>
        <v>13.989468819347078</v>
      </c>
      <c r="AC29" s="24">
        <f t="shared" si="29"/>
        <v>0.9851738605173999</v>
      </c>
      <c r="AD29" s="24">
        <f t="shared" si="30"/>
        <v>3.8421780560178593</v>
      </c>
      <c r="AE29" s="24">
        <f t="shared" si="31"/>
        <v>22.363446633744978</v>
      </c>
      <c r="AF29" s="34"/>
      <c r="AG29" s="34"/>
      <c r="AH29" s="35"/>
      <c r="AI29" s="35"/>
      <c r="AJ29" s="35"/>
      <c r="AK29" s="35"/>
    </row>
    <row r="30" spans="1:37" s="3" customFormat="1" ht="12.75">
      <c r="A30" s="3">
        <v>5</v>
      </c>
      <c r="B30" s="3" t="s">
        <v>11</v>
      </c>
      <c r="C30" s="3">
        <v>1</v>
      </c>
      <c r="D30" s="3">
        <v>7</v>
      </c>
      <c r="E30" s="3">
        <v>40</v>
      </c>
      <c r="F30" s="3">
        <v>5</v>
      </c>
      <c r="G30" s="3">
        <v>61</v>
      </c>
      <c r="H30" s="4" t="s">
        <v>297</v>
      </c>
      <c r="I30" s="9">
        <v>6.7708</v>
      </c>
      <c r="J30" s="9">
        <v>7.6304</v>
      </c>
      <c r="K30" s="9">
        <v>7.0755</v>
      </c>
      <c r="L30" s="10">
        <f t="shared" si="14"/>
        <v>64.5532805956259</v>
      </c>
      <c r="M30" s="10">
        <f>AVERAGE(L30:L32)</f>
        <v>65.11937910190134</v>
      </c>
      <c r="N30" s="3">
        <v>6.83</v>
      </c>
      <c r="O30" s="3">
        <v>16.56</v>
      </c>
      <c r="P30" s="3">
        <f t="shared" si="15"/>
        <v>10.589599999999997</v>
      </c>
      <c r="Q30" s="21">
        <f t="shared" si="17"/>
        <v>3566.878980891719</v>
      </c>
      <c r="R30" s="21">
        <f t="shared" si="18"/>
        <v>20382.16560509554</v>
      </c>
      <c r="S30" s="21">
        <f t="shared" si="19"/>
        <v>2547.7707006369424</v>
      </c>
      <c r="T30" s="21">
        <f t="shared" si="20"/>
        <v>31082.802547770698</v>
      </c>
      <c r="U30" s="21">
        <f t="shared" si="21"/>
        <v>57579.6178343949</v>
      </c>
      <c r="V30" s="24">
        <f t="shared" si="22"/>
        <v>0.661025912215759</v>
      </c>
      <c r="W30" s="24">
        <f t="shared" si="23"/>
        <v>3.7772909269471944</v>
      </c>
      <c r="X30" s="24">
        <f t="shared" si="24"/>
        <v>0.4721613658683993</v>
      </c>
      <c r="Y30" s="24">
        <f t="shared" si="25"/>
        <v>5.7603686635944715</v>
      </c>
      <c r="Z30" s="24">
        <f t="shared" si="26"/>
        <v>10.670846868625825</v>
      </c>
      <c r="AA30" s="24">
        <f t="shared" si="27"/>
        <v>1.0240004940361618</v>
      </c>
      <c r="AB30" s="24">
        <f t="shared" si="28"/>
        <v>5.851431394492353</v>
      </c>
      <c r="AC30" s="24">
        <f t="shared" si="29"/>
        <v>0.7314289243115442</v>
      </c>
      <c r="AD30" s="24">
        <f t="shared" si="30"/>
        <v>8.923432876600838</v>
      </c>
      <c r="AE30" s="24">
        <f t="shared" si="31"/>
        <v>16.530293689440896</v>
      </c>
      <c r="AF30" s="34">
        <f>AVERAGE(U30:U32)</f>
        <v>67091.29511677282</v>
      </c>
      <c r="AG30" s="34">
        <f>STDEV(U30:U32)/SQRT(3)</f>
        <v>12420.073671019569</v>
      </c>
      <c r="AH30" s="35">
        <f>AVERAGE(Z30:Z32)</f>
        <v>12.949750217724059</v>
      </c>
      <c r="AI30" s="35">
        <f>STDEV(Z30:Z32)/SQRT(3)</f>
        <v>4.137684063725377</v>
      </c>
      <c r="AJ30" s="35">
        <f>AVERAGE(AE30:AE32)</f>
        <v>19.00817230910921</v>
      </c>
      <c r="AK30" s="35">
        <f>STDEV(AE30:AE32)/SQRT(3)</f>
        <v>3.9514546011200737</v>
      </c>
    </row>
    <row r="31" spans="1:32" ht="12.75">
      <c r="A31" s="1">
        <v>5</v>
      </c>
      <c r="B31" s="1" t="s">
        <v>11</v>
      </c>
      <c r="C31" s="1">
        <v>2</v>
      </c>
      <c r="D31" s="1">
        <v>2</v>
      </c>
      <c r="E31" s="1">
        <v>27</v>
      </c>
      <c r="F31" s="1">
        <v>6</v>
      </c>
      <c r="G31" s="1">
        <v>67</v>
      </c>
      <c r="H31" s="2" t="s">
        <v>104</v>
      </c>
      <c r="I31" s="9">
        <v>7.5992</v>
      </c>
      <c r="J31" s="9">
        <v>8.1566</v>
      </c>
      <c r="K31" s="9">
        <v>7.8647</v>
      </c>
      <c r="L31" s="10">
        <f t="shared" si="14"/>
        <v>52.368137782561796</v>
      </c>
      <c r="M31" s="10"/>
      <c r="N31" s="1">
        <v>6.89</v>
      </c>
      <c r="O31" s="1">
        <v>20.5</v>
      </c>
      <c r="P31" s="3">
        <f t="shared" si="15"/>
        <v>14.167399999999999</v>
      </c>
      <c r="Q31" s="21">
        <f t="shared" si="17"/>
        <v>1019.1082802547769</v>
      </c>
      <c r="R31" s="21">
        <f t="shared" si="18"/>
        <v>13757.961783439488</v>
      </c>
      <c r="S31" s="21">
        <f t="shared" si="19"/>
        <v>3057.324840764331</v>
      </c>
      <c r="T31" s="21">
        <f t="shared" si="20"/>
        <v>34140.127388535024</v>
      </c>
      <c r="U31" s="21">
        <f t="shared" si="21"/>
        <v>51974.52229299362</v>
      </c>
      <c r="V31" s="24">
        <f t="shared" si="22"/>
        <v>0.14116916300803253</v>
      </c>
      <c r="W31" s="24">
        <f t="shared" si="23"/>
        <v>1.9057837006084393</v>
      </c>
      <c r="X31" s="24">
        <f t="shared" si="24"/>
        <v>0.4235074890240976</v>
      </c>
      <c r="Y31" s="24">
        <f t="shared" si="25"/>
        <v>4.72916696076909</v>
      </c>
      <c r="Z31" s="24">
        <f t="shared" si="26"/>
        <v>7.19962731340966</v>
      </c>
      <c r="AA31" s="24">
        <f t="shared" si="27"/>
        <v>0.269570714151002</v>
      </c>
      <c r="AB31" s="24">
        <f t="shared" si="28"/>
        <v>3.639204641038527</v>
      </c>
      <c r="AC31" s="24">
        <f t="shared" si="29"/>
        <v>0.8087121424530059</v>
      </c>
      <c r="AD31" s="24">
        <f t="shared" si="30"/>
        <v>9.030618924058567</v>
      </c>
      <c r="AE31" s="24">
        <f t="shared" si="31"/>
        <v>13.748106421701102</v>
      </c>
      <c r="AF31" s="34"/>
    </row>
    <row r="32" spans="1:32" ht="12.75">
      <c r="A32" s="1">
        <v>5</v>
      </c>
      <c r="B32" s="1" t="s">
        <v>11</v>
      </c>
      <c r="C32" s="1">
        <v>3</v>
      </c>
      <c r="D32" s="1">
        <v>32</v>
      </c>
      <c r="E32" s="1">
        <v>66</v>
      </c>
      <c r="F32" s="1">
        <v>1</v>
      </c>
      <c r="G32" s="1">
        <v>81</v>
      </c>
      <c r="H32" s="2" t="s">
        <v>298</v>
      </c>
      <c r="I32" s="9">
        <v>8.7205</v>
      </c>
      <c r="J32" s="9">
        <v>9.1606</v>
      </c>
      <c r="K32" s="9">
        <v>8.8154</v>
      </c>
      <c r="L32" s="10">
        <f t="shared" si="14"/>
        <v>78.43671892751632</v>
      </c>
      <c r="M32" s="10"/>
      <c r="N32" s="1">
        <v>6.82</v>
      </c>
      <c r="O32" s="1">
        <v>14.96</v>
      </c>
      <c r="P32" s="3">
        <f t="shared" si="15"/>
        <v>8.580100000000002</v>
      </c>
      <c r="Q32" s="21">
        <f t="shared" si="17"/>
        <v>16305.73248407643</v>
      </c>
      <c r="R32" s="21">
        <f t="shared" si="18"/>
        <v>33630.573248407636</v>
      </c>
      <c r="S32" s="21">
        <f t="shared" si="19"/>
        <v>509.55414012738845</v>
      </c>
      <c r="T32" s="21">
        <f t="shared" si="20"/>
        <v>41273.885350318465</v>
      </c>
      <c r="U32" s="21">
        <f t="shared" si="21"/>
        <v>91719.74522292992</v>
      </c>
      <c r="V32" s="24">
        <f t="shared" si="22"/>
        <v>3.7295602615354126</v>
      </c>
      <c r="W32" s="24">
        <f t="shared" si="23"/>
        <v>7.6922180394167885</v>
      </c>
      <c r="X32" s="24">
        <f t="shared" si="24"/>
        <v>0.11654875817298165</v>
      </c>
      <c r="Y32" s="24">
        <f t="shared" si="25"/>
        <v>9.440449412011514</v>
      </c>
      <c r="Z32" s="24">
        <f t="shared" si="26"/>
        <v>20.978776471136698</v>
      </c>
      <c r="AA32" s="24">
        <f t="shared" si="27"/>
        <v>4.754865211766333</v>
      </c>
      <c r="AB32" s="24">
        <f t="shared" si="28"/>
        <v>9.806909499268063</v>
      </c>
      <c r="AC32" s="24">
        <f t="shared" si="29"/>
        <v>0.1485895378676979</v>
      </c>
      <c r="AD32" s="24">
        <f t="shared" si="30"/>
        <v>12.03575256728353</v>
      </c>
      <c r="AE32" s="24">
        <f t="shared" si="31"/>
        <v>26.746116816185626</v>
      </c>
      <c r="AF32" s="34"/>
    </row>
    <row r="34" ht="12.75">
      <c r="B34" s="27" t="s">
        <v>165</v>
      </c>
    </row>
    <row r="35" spans="1:12" ht="12.75">
      <c r="A35" s="1" t="s">
        <v>263</v>
      </c>
      <c r="B35" s="1" t="s">
        <v>264</v>
      </c>
      <c r="L35" s="11">
        <f>AVERAGE(L3:L8)</f>
        <v>32.47113831863122</v>
      </c>
    </row>
    <row r="36" spans="1:12" ht="12.75">
      <c r="A36" s="1" t="s">
        <v>265</v>
      </c>
      <c r="L36" s="11">
        <f>AVERAGE(L9:L14)</f>
        <v>47.52317002311429</v>
      </c>
    </row>
    <row r="37" spans="1:12" ht="12.75">
      <c r="A37" s="1" t="s">
        <v>266</v>
      </c>
      <c r="L37" s="11">
        <f>AVERAGE(L15:L20)</f>
        <v>25.693203325086177</v>
      </c>
    </row>
    <row r="38" spans="1:12" ht="12.75">
      <c r="A38" s="1" t="s">
        <v>267</v>
      </c>
      <c r="L38" s="11">
        <f>AVERAGE(L21:L26)</f>
        <v>32.3331433136913</v>
      </c>
    </row>
    <row r="39" spans="1:12" ht="12.75">
      <c r="A39" s="1" t="s">
        <v>268</v>
      </c>
      <c r="L39" s="11">
        <f>AVERAGE(L27:L32)</f>
        <v>72.10925927039835</v>
      </c>
    </row>
  </sheetData>
  <mergeCells count="5">
    <mergeCell ref="J1:J2"/>
    <mergeCell ref="K1:K2"/>
    <mergeCell ref="L1:L2"/>
    <mergeCell ref="A1:H1"/>
    <mergeCell ref="I1:I2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83"/>
  <sheetViews>
    <sheetView tabSelected="1" workbookViewId="0" topLeftCell="A1">
      <pane xSplit="3" ySplit="2" topLeftCell="D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7" sqref="B37"/>
    </sheetView>
  </sheetViews>
  <sheetFormatPr defaultColWidth="9.140625" defaultRowHeight="12.75"/>
  <cols>
    <col min="1" max="1" width="7.00390625" style="1" customWidth="1"/>
    <col min="2" max="2" width="9.140625" style="1" customWidth="1"/>
    <col min="3" max="3" width="5.140625" style="1" customWidth="1"/>
    <col min="4" max="4" width="10.8515625" style="1" customWidth="1"/>
    <col min="5" max="7" width="9.140625" style="1" customWidth="1"/>
    <col min="8" max="8" width="20.140625" style="2" customWidth="1"/>
    <col min="9" max="9" width="5.57421875" style="1" customWidth="1"/>
    <col min="10" max="10" width="9.140625" style="6" customWidth="1"/>
    <col min="11" max="11" width="11.28125" style="6" customWidth="1"/>
    <col min="12" max="12" width="9.140625" style="6" customWidth="1"/>
    <col min="13" max="13" width="9.140625" style="11" customWidth="1"/>
    <col min="14" max="14" width="10.140625" style="11" customWidth="1"/>
    <col min="15" max="16384" width="9.140625" style="1" customWidth="1"/>
  </cols>
  <sheetData>
    <row r="1" spans="1:31" ht="12.75">
      <c r="A1" s="52" t="s">
        <v>270</v>
      </c>
      <c r="B1" s="52"/>
      <c r="C1" s="52"/>
      <c r="D1" s="52"/>
      <c r="E1" s="52"/>
      <c r="F1" s="52"/>
      <c r="G1" s="52"/>
      <c r="H1" s="52"/>
      <c r="J1" s="54" t="s">
        <v>115</v>
      </c>
      <c r="K1" s="54" t="s">
        <v>122</v>
      </c>
      <c r="L1" s="54" t="s">
        <v>310</v>
      </c>
      <c r="M1" s="56" t="s">
        <v>123</v>
      </c>
      <c r="N1" s="10"/>
      <c r="O1" s="13"/>
      <c r="P1" s="13"/>
      <c r="Q1" s="19" t="s">
        <v>188</v>
      </c>
      <c r="R1" s="19"/>
      <c r="S1" s="19"/>
      <c r="T1" s="19"/>
      <c r="U1" s="19"/>
      <c r="V1" s="22"/>
      <c r="W1" s="22"/>
      <c r="X1" s="22"/>
      <c r="Y1" s="22"/>
      <c r="Z1" s="22"/>
      <c r="AA1" s="22"/>
      <c r="AB1" s="22"/>
      <c r="AC1" s="22"/>
      <c r="AD1" s="23"/>
      <c r="AE1" s="23"/>
    </row>
    <row r="2" spans="1:37" ht="25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6" t="s">
        <v>313</v>
      </c>
      <c r="J2" s="55"/>
      <c r="K2" s="55"/>
      <c r="L2" s="55"/>
      <c r="M2" s="57"/>
      <c r="N2" s="25" t="s">
        <v>269</v>
      </c>
      <c r="O2" s="14" t="s">
        <v>299</v>
      </c>
      <c r="P2" s="14" t="s">
        <v>311</v>
      </c>
      <c r="Q2" s="20" t="s">
        <v>248</v>
      </c>
      <c r="R2" s="20" t="s">
        <v>249</v>
      </c>
      <c r="S2" s="20" t="s">
        <v>250</v>
      </c>
      <c r="T2" s="20" t="s">
        <v>251</v>
      </c>
      <c r="U2" s="20" t="s">
        <v>252</v>
      </c>
      <c r="V2" s="23" t="s">
        <v>253</v>
      </c>
      <c r="W2" s="23" t="s">
        <v>254</v>
      </c>
      <c r="X2" s="23" t="s">
        <v>255</v>
      </c>
      <c r="Y2" s="23" t="s">
        <v>256</v>
      </c>
      <c r="Z2" s="23" t="s">
        <v>257</v>
      </c>
      <c r="AA2" s="23" t="s">
        <v>258</v>
      </c>
      <c r="AB2" s="23" t="s">
        <v>259</v>
      </c>
      <c r="AC2" s="23" t="s">
        <v>260</v>
      </c>
      <c r="AD2" s="23" t="s">
        <v>261</v>
      </c>
      <c r="AE2" s="23" t="s">
        <v>262</v>
      </c>
      <c r="AF2" s="6" t="s">
        <v>305</v>
      </c>
      <c r="AG2" s="6" t="s">
        <v>308</v>
      </c>
      <c r="AH2" s="6" t="s">
        <v>306</v>
      </c>
      <c r="AI2" s="6" t="s">
        <v>308</v>
      </c>
      <c r="AJ2" s="6" t="s">
        <v>307</v>
      </c>
      <c r="AK2" s="1" t="s">
        <v>308</v>
      </c>
    </row>
    <row r="3" spans="1:37" s="3" customFormat="1" ht="12.75">
      <c r="A3" s="3">
        <v>1</v>
      </c>
      <c r="B3" s="3" t="s">
        <v>9</v>
      </c>
      <c r="C3" s="3">
        <v>1</v>
      </c>
      <c r="D3" s="3">
        <v>45</v>
      </c>
      <c r="E3" s="3">
        <v>90</v>
      </c>
      <c r="F3" s="3">
        <v>18</v>
      </c>
      <c r="G3" s="3">
        <v>24</v>
      </c>
      <c r="H3" s="4" t="s">
        <v>312</v>
      </c>
      <c r="I3" s="3">
        <v>4</v>
      </c>
      <c r="J3" s="9">
        <v>7.8248</v>
      </c>
      <c r="K3" s="9">
        <v>9.0177</v>
      </c>
      <c r="L3" s="9">
        <v>8.3906</v>
      </c>
      <c r="M3" s="10">
        <f aca="true" t="shared" si="0" ref="M3:M32">100*(K3-L3)/(K3-J3)</f>
        <v>52.569368765194106</v>
      </c>
      <c r="N3" s="10">
        <f>AVERAGE(M3:M5)</f>
        <v>45.810810576196936</v>
      </c>
      <c r="O3" s="3">
        <v>10.18</v>
      </c>
      <c r="P3" s="3">
        <f>O3-1.1</f>
        <v>9.08</v>
      </c>
      <c r="Q3" s="21">
        <f aca="true" t="shared" si="1" ref="Q3:Q32">D3/((0.025*0.025)*3.14)</f>
        <v>22929.93630573248</v>
      </c>
      <c r="R3" s="21">
        <f aca="true" t="shared" si="2" ref="R3:R32">E3/((0.025*0.025)*3.14)</f>
        <v>45859.87261146496</v>
      </c>
      <c r="S3" s="21">
        <f aca="true" t="shared" si="3" ref="S3:S32">F3/((0.025*0.025)*3.14)</f>
        <v>9171.974522292992</v>
      </c>
      <c r="T3" s="21">
        <f aca="true" t="shared" si="4" ref="T3:T32">G3/((0.025*0.025)*3.14)</f>
        <v>12229.299363057324</v>
      </c>
      <c r="U3" s="21">
        <f aca="true" t="shared" si="5" ref="U3:U32">SUM(Q3:T3)</f>
        <v>90191.08280254775</v>
      </c>
      <c r="V3" s="24">
        <f aca="true" t="shared" si="6" ref="V3:Y4">D3/$P3</f>
        <v>4.955947136563877</v>
      </c>
      <c r="W3" s="24">
        <f t="shared" si="6"/>
        <v>9.911894273127754</v>
      </c>
      <c r="X3" s="24">
        <f t="shared" si="6"/>
        <v>1.9823788546255507</v>
      </c>
      <c r="Y3" s="24">
        <f t="shared" si="6"/>
        <v>2.643171806167401</v>
      </c>
      <c r="Z3" s="24">
        <f>SUM(V3:Y3)</f>
        <v>19.493392070484582</v>
      </c>
      <c r="AA3" s="24">
        <f>D3/($P3*($M3/100))</f>
        <v>9.427442735141197</v>
      </c>
      <c r="AB3" s="24">
        <f>E3/($P3*($M3/100))</f>
        <v>18.854885470282394</v>
      </c>
      <c r="AC3" s="24">
        <f>F3/($P3*($M3/100))</f>
        <v>3.7709770940564784</v>
      </c>
      <c r="AD3" s="24">
        <f>G3/($P3*($M3/100))</f>
        <v>5.027969458741971</v>
      </c>
      <c r="AE3" s="24">
        <f>SUM(AA3:AD3)</f>
        <v>37.08127475822204</v>
      </c>
      <c r="AF3" s="34">
        <f>AVERAGE(U3:U5)</f>
        <v>95456.4755838641</v>
      </c>
      <c r="AG3" s="34">
        <f>STDEV(U3:U5)/SQRT(3)</f>
        <v>14798.5299430714</v>
      </c>
      <c r="AH3" s="35">
        <f>AVERAGE(Z3:Z5)</f>
        <v>21.427038464925317</v>
      </c>
      <c r="AI3" s="35">
        <f>STDEV(Z3:Z5)/SQRT(3)</f>
        <v>3.258809387262676</v>
      </c>
      <c r="AJ3" s="35">
        <f>AVERAGE(AE3:AE5)</f>
        <v>49.8615950366933</v>
      </c>
      <c r="AK3" s="35">
        <f>STDEV(AE3:AE5)/SQRT(3)</f>
        <v>14.068529428642265</v>
      </c>
    </row>
    <row r="4" spans="1:37" ht="12.75">
      <c r="A4" s="1">
        <v>1</v>
      </c>
      <c r="B4" s="1" t="s">
        <v>9</v>
      </c>
      <c r="C4" s="1">
        <v>2</v>
      </c>
      <c r="D4" s="1">
        <v>64</v>
      </c>
      <c r="E4" s="1">
        <v>45</v>
      </c>
      <c r="F4" s="1">
        <v>9</v>
      </c>
      <c r="G4" s="1">
        <v>25</v>
      </c>
      <c r="H4" s="2" t="s">
        <v>314</v>
      </c>
      <c r="I4" s="1">
        <v>1</v>
      </c>
      <c r="J4" s="9">
        <v>8.5813</v>
      </c>
      <c r="K4" s="9">
        <v>9.6255</v>
      </c>
      <c r="L4" s="9">
        <v>9.1115</v>
      </c>
      <c r="M4" s="10">
        <f t="shared" si="0"/>
        <v>49.22428653514663</v>
      </c>
      <c r="N4" s="10"/>
      <c r="O4" s="1">
        <v>9.51</v>
      </c>
      <c r="P4" s="3">
        <f aca="true" t="shared" si="7" ref="P4:P32">O4-1.1</f>
        <v>8.41</v>
      </c>
      <c r="Q4" s="21">
        <f t="shared" si="1"/>
        <v>32611.46496815286</v>
      </c>
      <c r="R4" s="21">
        <f t="shared" si="2"/>
        <v>22929.93630573248</v>
      </c>
      <c r="S4" s="21">
        <f t="shared" si="3"/>
        <v>4585.987261146496</v>
      </c>
      <c r="T4" s="21">
        <f t="shared" si="4"/>
        <v>12738.853503184711</v>
      </c>
      <c r="U4" s="21">
        <f t="shared" si="5"/>
        <v>72866.24203821654</v>
      </c>
      <c r="V4" s="24">
        <f t="shared" si="6"/>
        <v>7.609988109393579</v>
      </c>
      <c r="W4" s="24">
        <f t="shared" si="6"/>
        <v>5.35077288941736</v>
      </c>
      <c r="X4" s="24">
        <f t="shared" si="6"/>
        <v>1.070154577883472</v>
      </c>
      <c r="Y4" s="24">
        <f t="shared" si="6"/>
        <v>2.972651605231867</v>
      </c>
      <c r="Z4" s="24">
        <f>SUM(V4:Y4)</f>
        <v>17.00356718192628</v>
      </c>
      <c r="AA4" s="24">
        <f aca="true" t="shared" si="8" ref="AA4:AA13">D4/($P4*($M4/100))</f>
        <v>15.459824093052056</v>
      </c>
      <c r="AB4" s="24">
        <f aca="true" t="shared" si="9" ref="AB4:AB13">E4/($P4*($M4/100))</f>
        <v>10.870188815427227</v>
      </c>
      <c r="AC4" s="24">
        <f aca="true" t="shared" si="10" ref="AC4:AC13">F4/($P4*($M4/100))</f>
        <v>2.1740377630854453</v>
      </c>
      <c r="AD4" s="24">
        <f aca="true" t="shared" si="11" ref="AD4:AD13">G4/($P4*($M4/100))</f>
        <v>6.03899378634846</v>
      </c>
      <c r="AE4" s="24">
        <f aca="true" t="shared" si="12" ref="AE4:AE13">SUM(AA4:AD4)</f>
        <v>34.54304445791318</v>
      </c>
      <c r="AF4" s="34"/>
      <c r="AG4" s="34"/>
      <c r="AH4" s="35"/>
      <c r="AI4" s="35"/>
      <c r="AJ4" s="35"/>
      <c r="AK4" s="35"/>
    </row>
    <row r="5" spans="1:37" ht="12.75">
      <c r="A5" s="1">
        <v>1</v>
      </c>
      <c r="B5" s="1" t="s">
        <v>9</v>
      </c>
      <c r="C5" s="1">
        <v>3</v>
      </c>
      <c r="D5" s="1">
        <v>30</v>
      </c>
      <c r="E5" s="1">
        <v>140</v>
      </c>
      <c r="F5" s="1">
        <v>24</v>
      </c>
      <c r="G5" s="1">
        <v>48</v>
      </c>
      <c r="H5" s="2" t="s">
        <v>315</v>
      </c>
      <c r="I5" s="1">
        <v>4</v>
      </c>
      <c r="J5" s="9">
        <v>7</v>
      </c>
      <c r="K5" s="9">
        <v>8.7784</v>
      </c>
      <c r="L5" s="9">
        <v>8.1446</v>
      </c>
      <c r="M5" s="10">
        <f t="shared" si="0"/>
        <v>35.63877642825007</v>
      </c>
      <c r="N5" s="10"/>
      <c r="O5" s="1">
        <v>9.81</v>
      </c>
      <c r="P5" s="3">
        <f t="shared" si="7"/>
        <v>8.71</v>
      </c>
      <c r="Q5" s="21">
        <f t="shared" si="1"/>
        <v>15286.624203821653</v>
      </c>
      <c r="R5" s="21">
        <f t="shared" si="2"/>
        <v>71337.57961783439</v>
      </c>
      <c r="S5" s="21">
        <f t="shared" si="3"/>
        <v>12229.299363057324</v>
      </c>
      <c r="T5" s="21">
        <f t="shared" si="4"/>
        <v>24458.598726114647</v>
      </c>
      <c r="U5" s="21">
        <f t="shared" si="5"/>
        <v>123312.10191082802</v>
      </c>
      <c r="V5" s="24">
        <f aca="true" t="shared" si="13" ref="V5:V13">D5/$P5</f>
        <v>3.4443168771526977</v>
      </c>
      <c r="W5" s="24">
        <f aca="true" t="shared" si="14" ref="W5:W13">E5/$P5</f>
        <v>16.073478760045923</v>
      </c>
      <c r="X5" s="24">
        <f aca="true" t="shared" si="15" ref="X5:X13">F5/$P5</f>
        <v>2.755453501722158</v>
      </c>
      <c r="Y5" s="24">
        <f aca="true" t="shared" si="16" ref="Y5:Y13">G5/$P5</f>
        <v>5.510907003444316</v>
      </c>
      <c r="Z5" s="24">
        <f aca="true" t="shared" si="17" ref="Z5:Z13">SUM(V5:Y5)</f>
        <v>27.784156142365095</v>
      </c>
      <c r="AA5" s="24">
        <f t="shared" si="8"/>
        <v>9.664520565365045</v>
      </c>
      <c r="AB5" s="24">
        <f t="shared" si="9"/>
        <v>45.10109597170354</v>
      </c>
      <c r="AC5" s="24">
        <f t="shared" si="10"/>
        <v>7.731616452292036</v>
      </c>
      <c r="AD5" s="24">
        <f t="shared" si="11"/>
        <v>15.463232904584071</v>
      </c>
      <c r="AE5" s="24">
        <f t="shared" si="12"/>
        <v>77.9604658939447</v>
      </c>
      <c r="AF5" s="34"/>
      <c r="AG5" s="34"/>
      <c r="AH5" s="35"/>
      <c r="AI5" s="35"/>
      <c r="AJ5" s="35"/>
      <c r="AK5" s="35"/>
    </row>
    <row r="6" spans="1:37" s="3" customFormat="1" ht="12.75">
      <c r="A6" s="3">
        <v>1</v>
      </c>
      <c r="B6" s="3" t="s">
        <v>11</v>
      </c>
      <c r="C6" s="3">
        <v>1</v>
      </c>
      <c r="D6" s="3">
        <v>1</v>
      </c>
      <c r="E6" s="3">
        <v>16</v>
      </c>
      <c r="F6" s="3">
        <v>1</v>
      </c>
      <c r="G6" s="3">
        <v>12</v>
      </c>
      <c r="H6" s="2" t="s">
        <v>316</v>
      </c>
      <c r="I6" s="1">
        <v>4</v>
      </c>
      <c r="J6" s="9">
        <v>7.3163</v>
      </c>
      <c r="K6" s="9">
        <v>8.6403</v>
      </c>
      <c r="L6" s="9">
        <v>7.9658</v>
      </c>
      <c r="M6" s="10">
        <f t="shared" si="0"/>
        <v>50.944108761329325</v>
      </c>
      <c r="N6" s="10">
        <f>AVERAGE(M6:M8)</f>
        <v>44.40701011454225</v>
      </c>
      <c r="O6" s="3">
        <v>18.65</v>
      </c>
      <c r="P6" s="3">
        <f t="shared" si="7"/>
        <v>17.549999999999997</v>
      </c>
      <c r="Q6" s="21">
        <f t="shared" si="1"/>
        <v>509.55414012738845</v>
      </c>
      <c r="R6" s="21">
        <f t="shared" si="2"/>
        <v>8152.866242038215</v>
      </c>
      <c r="S6" s="21">
        <f t="shared" si="3"/>
        <v>509.55414012738845</v>
      </c>
      <c r="T6" s="21">
        <f t="shared" si="4"/>
        <v>6114.649681528662</v>
      </c>
      <c r="U6" s="21">
        <f t="shared" si="5"/>
        <v>15286.624203821651</v>
      </c>
      <c r="V6" s="24">
        <f t="shared" si="13"/>
        <v>0.05698005698005699</v>
      </c>
      <c r="W6" s="24">
        <f t="shared" si="14"/>
        <v>0.9116809116809118</v>
      </c>
      <c r="X6" s="24">
        <f t="shared" si="15"/>
        <v>0.05698005698005699</v>
      </c>
      <c r="Y6" s="24">
        <f t="shared" si="16"/>
        <v>0.6837606837606839</v>
      </c>
      <c r="Z6" s="24">
        <f t="shared" si="17"/>
        <v>1.7094017094017095</v>
      </c>
      <c r="AA6" s="24">
        <f t="shared" si="8"/>
        <v>0.11184817708168338</v>
      </c>
      <c r="AB6" s="24">
        <f t="shared" si="9"/>
        <v>1.789570833306934</v>
      </c>
      <c r="AC6" s="24">
        <f t="shared" si="10"/>
        <v>0.11184817708168338</v>
      </c>
      <c r="AD6" s="24">
        <f t="shared" si="11"/>
        <v>1.3421781249802005</v>
      </c>
      <c r="AE6" s="24">
        <f t="shared" si="12"/>
        <v>3.355445312450501</v>
      </c>
      <c r="AF6" s="34">
        <f>AVERAGE(U6:U8)</f>
        <v>59787.68577494691</v>
      </c>
      <c r="AG6" s="34">
        <f>STDEV(U6:U8)/SQRT(3)</f>
        <v>27511.7293859893</v>
      </c>
      <c r="AH6" s="35">
        <f>AVERAGE(Z6:Z8)</f>
        <v>9.012320243501529</v>
      </c>
      <c r="AI6" s="35">
        <f>STDEV(Z6:Z8)/SQRT(3)</f>
        <v>6.270205437323223</v>
      </c>
      <c r="AJ6" s="35">
        <f>AVERAGE(AE6:AE8)</f>
        <v>19.38262321478152</v>
      </c>
      <c r="AK6" s="35">
        <f>STDEV(AE6:AE8)/SQRT(3)</f>
        <v>8.730927285685118</v>
      </c>
    </row>
    <row r="7" spans="1:37" ht="12.75">
      <c r="A7" s="1">
        <v>1</v>
      </c>
      <c r="B7" s="1" t="s">
        <v>11</v>
      </c>
      <c r="C7" s="1">
        <v>2</v>
      </c>
      <c r="D7" s="1">
        <v>9</v>
      </c>
      <c r="E7" s="1">
        <v>85</v>
      </c>
      <c r="F7" s="1">
        <v>19</v>
      </c>
      <c r="G7" s="1">
        <v>103</v>
      </c>
      <c r="H7" s="2" t="s">
        <v>317</v>
      </c>
      <c r="I7" s="1">
        <v>0</v>
      </c>
      <c r="J7" s="9">
        <v>8.968</v>
      </c>
      <c r="K7" s="9">
        <v>9.7596</v>
      </c>
      <c r="L7" s="9">
        <v>9.2502</v>
      </c>
      <c r="M7" s="10">
        <f t="shared" si="0"/>
        <v>64.35068216270852</v>
      </c>
      <c r="N7" s="10"/>
      <c r="O7" s="1">
        <v>11.15</v>
      </c>
      <c r="P7" s="3">
        <f t="shared" si="7"/>
        <v>10.05</v>
      </c>
      <c r="Q7" s="21">
        <f t="shared" si="1"/>
        <v>4585.987261146496</v>
      </c>
      <c r="R7" s="21">
        <f t="shared" si="2"/>
        <v>43312.101910828016</v>
      </c>
      <c r="S7" s="21">
        <f t="shared" si="3"/>
        <v>9681.52866242038</v>
      </c>
      <c r="T7" s="21">
        <f t="shared" si="4"/>
        <v>52484.07643312101</v>
      </c>
      <c r="U7" s="21">
        <f t="shared" si="5"/>
        <v>110063.69426751591</v>
      </c>
      <c r="V7" s="24">
        <f t="shared" si="13"/>
        <v>0.8955223880597014</v>
      </c>
      <c r="W7" s="24">
        <f t="shared" si="14"/>
        <v>8.457711442786069</v>
      </c>
      <c r="X7" s="24">
        <f t="shared" si="15"/>
        <v>1.8905472636815919</v>
      </c>
      <c r="Y7" s="24">
        <f t="shared" si="16"/>
        <v>10.248756218905472</v>
      </c>
      <c r="Z7" s="24">
        <f t="shared" si="17"/>
        <v>21.492537313432834</v>
      </c>
      <c r="AA7" s="24">
        <f t="shared" si="8"/>
        <v>1.3916284302867268</v>
      </c>
      <c r="AB7" s="24">
        <f t="shared" si="9"/>
        <v>13.14315739715242</v>
      </c>
      <c r="AC7" s="24">
        <f t="shared" si="10"/>
        <v>2.9378822417164234</v>
      </c>
      <c r="AD7" s="24">
        <f t="shared" si="11"/>
        <v>15.926414257725874</v>
      </c>
      <c r="AE7" s="24">
        <f t="shared" si="12"/>
        <v>33.39908232688144</v>
      </c>
      <c r="AF7" s="34"/>
      <c r="AG7" s="34"/>
      <c r="AH7" s="35"/>
      <c r="AI7" s="35"/>
      <c r="AJ7" s="35"/>
      <c r="AK7" s="35"/>
    </row>
    <row r="8" spans="1:37" ht="12.75">
      <c r="A8" s="1">
        <v>1</v>
      </c>
      <c r="B8" s="1" t="s">
        <v>11</v>
      </c>
      <c r="C8" s="1">
        <v>3</v>
      </c>
      <c r="D8" s="1">
        <v>25</v>
      </c>
      <c r="E8" s="1">
        <v>64</v>
      </c>
      <c r="F8" s="1">
        <v>10</v>
      </c>
      <c r="G8" s="1">
        <v>7</v>
      </c>
      <c r="H8" s="2" t="s">
        <v>318</v>
      </c>
      <c r="I8" s="1">
        <v>0</v>
      </c>
      <c r="J8" s="9">
        <v>7.3618</v>
      </c>
      <c r="K8" s="9">
        <v>9.6774</v>
      </c>
      <c r="L8" s="9">
        <v>9.2623</v>
      </c>
      <c r="M8" s="10">
        <f t="shared" si="0"/>
        <v>17.9262394195889</v>
      </c>
      <c r="N8" s="10"/>
      <c r="O8" s="1">
        <v>28.74</v>
      </c>
      <c r="P8" s="3">
        <f t="shared" si="7"/>
        <v>27.639999999999997</v>
      </c>
      <c r="Q8" s="21">
        <f t="shared" si="1"/>
        <v>12738.853503184711</v>
      </c>
      <c r="R8" s="21">
        <f t="shared" si="2"/>
        <v>32611.46496815286</v>
      </c>
      <c r="S8" s="21">
        <f t="shared" si="3"/>
        <v>5095.541401273885</v>
      </c>
      <c r="T8" s="21">
        <f t="shared" si="4"/>
        <v>3566.878980891719</v>
      </c>
      <c r="U8" s="21">
        <f t="shared" si="5"/>
        <v>54012.73885350318</v>
      </c>
      <c r="V8" s="24">
        <f t="shared" si="13"/>
        <v>0.9044862518089726</v>
      </c>
      <c r="W8" s="24">
        <f t="shared" si="14"/>
        <v>2.31548480463097</v>
      </c>
      <c r="X8" s="24">
        <f t="shared" si="15"/>
        <v>0.36179450072358904</v>
      </c>
      <c r="Y8" s="24">
        <f t="shared" si="16"/>
        <v>0.25325615050651235</v>
      </c>
      <c r="Z8" s="24">
        <f t="shared" si="17"/>
        <v>3.835021707670044</v>
      </c>
      <c r="AA8" s="24">
        <f t="shared" si="8"/>
        <v>5.045599529484111</v>
      </c>
      <c r="AB8" s="24">
        <f t="shared" si="9"/>
        <v>12.916734795479323</v>
      </c>
      <c r="AC8" s="24">
        <f t="shared" si="10"/>
        <v>2.018239811793644</v>
      </c>
      <c r="AD8" s="24">
        <f t="shared" si="11"/>
        <v>1.412767868255551</v>
      </c>
      <c r="AE8" s="24">
        <f t="shared" si="12"/>
        <v>21.39334200501263</v>
      </c>
      <c r="AF8" s="34"/>
      <c r="AG8" s="34"/>
      <c r="AH8" s="35"/>
      <c r="AI8" s="35"/>
      <c r="AJ8" s="35"/>
      <c r="AK8" s="35"/>
    </row>
    <row r="9" spans="1:37" s="3" customFormat="1" ht="12.75">
      <c r="A9" s="3">
        <v>2</v>
      </c>
      <c r="B9" s="3" t="s">
        <v>9</v>
      </c>
      <c r="C9" s="3">
        <v>1</v>
      </c>
      <c r="D9" s="3">
        <v>24</v>
      </c>
      <c r="E9" s="3">
        <v>83</v>
      </c>
      <c r="F9" s="3">
        <v>14</v>
      </c>
      <c r="G9" s="3">
        <v>23</v>
      </c>
      <c r="H9" s="4" t="s">
        <v>154</v>
      </c>
      <c r="I9" s="3">
        <v>2</v>
      </c>
      <c r="J9" s="9">
        <v>8.5721</v>
      </c>
      <c r="K9" s="9">
        <v>9.8961</v>
      </c>
      <c r="L9" s="9">
        <v>9.0934</v>
      </c>
      <c r="M9" s="10">
        <f t="shared" si="0"/>
        <v>60.626888217522655</v>
      </c>
      <c r="N9" s="10">
        <f>AVERAGE(M9:M11)</f>
        <v>41.443431755537155</v>
      </c>
      <c r="O9" s="3">
        <v>13.17</v>
      </c>
      <c r="P9" s="3">
        <f t="shared" si="7"/>
        <v>12.07</v>
      </c>
      <c r="Q9" s="21">
        <f t="shared" si="1"/>
        <v>12229.299363057324</v>
      </c>
      <c r="R9" s="21">
        <f t="shared" si="2"/>
        <v>42292.99363057324</v>
      </c>
      <c r="S9" s="21">
        <f t="shared" si="3"/>
        <v>7133.757961783438</v>
      </c>
      <c r="T9" s="21">
        <f t="shared" si="4"/>
        <v>11719.745222929934</v>
      </c>
      <c r="U9" s="21">
        <f t="shared" si="5"/>
        <v>73375.79617834394</v>
      </c>
      <c r="V9" s="24">
        <f t="shared" si="13"/>
        <v>1.988400994200497</v>
      </c>
      <c r="W9" s="24">
        <f t="shared" si="14"/>
        <v>6.876553438276719</v>
      </c>
      <c r="X9" s="24">
        <f t="shared" si="15"/>
        <v>1.15990057995029</v>
      </c>
      <c r="Y9" s="24">
        <f t="shared" si="16"/>
        <v>1.9055509527754764</v>
      </c>
      <c r="Z9" s="24">
        <f t="shared" si="17"/>
        <v>11.930405965202981</v>
      </c>
      <c r="AA9" s="24">
        <f t="shared" si="8"/>
        <v>3.279734541324851</v>
      </c>
      <c r="AB9" s="24">
        <f t="shared" si="9"/>
        <v>11.342415288748443</v>
      </c>
      <c r="AC9" s="24">
        <f t="shared" si="10"/>
        <v>1.9131784824394966</v>
      </c>
      <c r="AD9" s="24">
        <f t="shared" si="11"/>
        <v>3.1430789354363156</v>
      </c>
      <c r="AE9" s="24">
        <f t="shared" si="12"/>
        <v>19.678407247949103</v>
      </c>
      <c r="AF9" s="34">
        <f>AVERAGE(U9:U11)</f>
        <v>74055.2016985138</v>
      </c>
      <c r="AG9" s="34">
        <f>STDEV(U9:U11)/SQRT(3)</f>
        <v>5012.774373969785</v>
      </c>
      <c r="AH9" s="35">
        <f>AVERAGE(Z9:Z11)</f>
        <v>8.807901050283556</v>
      </c>
      <c r="AI9" s="35">
        <f>STDEV(Z9:Z11)/SQRT(3)</f>
        <v>2.0450092190815417</v>
      </c>
      <c r="AJ9" s="35">
        <f>AVERAGE(AE9:AE11)</f>
        <v>22.10188339312968</v>
      </c>
      <c r="AK9" s="35">
        <f>STDEV(AE9:AE11)/SQRT(3)</f>
        <v>1.4923095020984973</v>
      </c>
    </row>
    <row r="10" spans="1:37" ht="12.75">
      <c r="A10" s="1">
        <v>2</v>
      </c>
      <c r="B10" s="1" t="s">
        <v>9</v>
      </c>
      <c r="C10" s="1">
        <v>2</v>
      </c>
      <c r="D10" s="1">
        <v>21</v>
      </c>
      <c r="E10" s="1">
        <v>90</v>
      </c>
      <c r="F10" s="1">
        <v>9</v>
      </c>
      <c r="G10" s="1">
        <v>9</v>
      </c>
      <c r="H10" s="2" t="s">
        <v>109</v>
      </c>
      <c r="I10" s="1">
        <v>1</v>
      </c>
      <c r="J10" s="9">
        <v>8.7837</v>
      </c>
      <c r="K10" s="9">
        <v>9.991</v>
      </c>
      <c r="L10" s="9">
        <v>9.4631</v>
      </c>
      <c r="M10" s="10">
        <f t="shared" si="0"/>
        <v>43.7256688478422</v>
      </c>
      <c r="N10" s="10"/>
      <c r="O10" s="1">
        <v>14.63</v>
      </c>
      <c r="P10" s="3">
        <f t="shared" si="7"/>
        <v>13.530000000000001</v>
      </c>
      <c r="Q10" s="21">
        <f t="shared" si="1"/>
        <v>10700.636942675157</v>
      </c>
      <c r="R10" s="21">
        <f t="shared" si="2"/>
        <v>45859.87261146496</v>
      </c>
      <c r="S10" s="21">
        <f t="shared" si="3"/>
        <v>4585.987261146496</v>
      </c>
      <c r="T10" s="21">
        <f t="shared" si="4"/>
        <v>4585.987261146496</v>
      </c>
      <c r="U10" s="21">
        <f t="shared" si="5"/>
        <v>65732.48407643312</v>
      </c>
      <c r="V10" s="24">
        <f t="shared" si="13"/>
        <v>1.5521064301552105</v>
      </c>
      <c r="W10" s="24">
        <f t="shared" si="14"/>
        <v>6.651884700665188</v>
      </c>
      <c r="X10" s="24">
        <f t="shared" si="15"/>
        <v>0.6651884700665188</v>
      </c>
      <c r="Y10" s="24">
        <f t="shared" si="16"/>
        <v>0.6651884700665188</v>
      </c>
      <c r="Z10" s="24">
        <f t="shared" si="17"/>
        <v>9.534368070953438</v>
      </c>
      <c r="AA10" s="24">
        <f t="shared" si="8"/>
        <v>3.549645942652755</v>
      </c>
      <c r="AB10" s="24">
        <f t="shared" si="9"/>
        <v>15.212768325654665</v>
      </c>
      <c r="AC10" s="24">
        <f t="shared" si="10"/>
        <v>1.5212768325654664</v>
      </c>
      <c r="AD10" s="24">
        <f t="shared" si="11"/>
        <v>1.5212768325654664</v>
      </c>
      <c r="AE10" s="24">
        <f t="shared" si="12"/>
        <v>21.804967933438352</v>
      </c>
      <c r="AF10" s="34"/>
      <c r="AG10" s="34"/>
      <c r="AH10" s="35"/>
      <c r="AI10" s="35"/>
      <c r="AJ10" s="35"/>
      <c r="AK10" s="35"/>
    </row>
    <row r="11" spans="1:37" ht="12.75">
      <c r="A11" s="1">
        <v>2</v>
      </c>
      <c r="B11" s="1" t="s">
        <v>9</v>
      </c>
      <c r="C11" s="1">
        <v>3</v>
      </c>
      <c r="D11" s="1">
        <v>33</v>
      </c>
      <c r="E11" s="1">
        <v>84</v>
      </c>
      <c r="F11" s="1">
        <v>21</v>
      </c>
      <c r="G11" s="1">
        <v>25</v>
      </c>
      <c r="H11" s="2" t="s">
        <v>109</v>
      </c>
      <c r="I11" s="1">
        <v>0</v>
      </c>
      <c r="J11" s="9">
        <v>8.6415</v>
      </c>
      <c r="K11" s="9">
        <v>10.8875</v>
      </c>
      <c r="L11" s="9">
        <v>10.4388</v>
      </c>
      <c r="M11" s="10">
        <f t="shared" si="0"/>
        <v>19.977738201246616</v>
      </c>
      <c r="N11" s="10"/>
      <c r="O11" s="1">
        <v>33.97</v>
      </c>
      <c r="P11" s="3">
        <f t="shared" si="7"/>
        <v>32.87</v>
      </c>
      <c r="Q11" s="21">
        <f t="shared" si="1"/>
        <v>16815.286624203818</v>
      </c>
      <c r="R11" s="21">
        <f t="shared" si="2"/>
        <v>42802.54777070063</v>
      </c>
      <c r="S11" s="21">
        <f t="shared" si="3"/>
        <v>10700.636942675157</v>
      </c>
      <c r="T11" s="21">
        <f t="shared" si="4"/>
        <v>12738.853503184711</v>
      </c>
      <c r="U11" s="21">
        <f t="shared" si="5"/>
        <v>83057.32484076433</v>
      </c>
      <c r="V11" s="24">
        <f t="shared" si="13"/>
        <v>1.0039549741405538</v>
      </c>
      <c r="W11" s="24">
        <f t="shared" si="14"/>
        <v>2.555521752357773</v>
      </c>
      <c r="X11" s="24">
        <f t="shared" si="15"/>
        <v>0.6388804380894433</v>
      </c>
      <c r="Y11" s="24">
        <f t="shared" si="16"/>
        <v>0.7605719501064802</v>
      </c>
      <c r="Z11" s="24">
        <f t="shared" si="17"/>
        <v>4.958929114694251</v>
      </c>
      <c r="AA11" s="24">
        <f t="shared" si="8"/>
        <v>5.025368557877621</v>
      </c>
      <c r="AB11" s="24">
        <f t="shared" si="9"/>
        <v>12.791847238233945</v>
      </c>
      <c r="AC11" s="24">
        <f t="shared" si="10"/>
        <v>3.1979618095584863</v>
      </c>
      <c r="AD11" s="24">
        <f t="shared" si="11"/>
        <v>3.807097392331531</v>
      </c>
      <c r="AE11" s="24">
        <f t="shared" si="12"/>
        <v>24.822274998001582</v>
      </c>
      <c r="AF11" s="34"/>
      <c r="AG11" s="34"/>
      <c r="AH11" s="35"/>
      <c r="AI11" s="35"/>
      <c r="AJ11" s="35"/>
      <c r="AK11" s="35"/>
    </row>
    <row r="12" spans="1:37" s="3" customFormat="1" ht="12.75">
      <c r="A12" s="3">
        <v>2</v>
      </c>
      <c r="B12" s="3" t="s">
        <v>11</v>
      </c>
      <c r="C12" s="3">
        <v>1</v>
      </c>
      <c r="D12" s="3">
        <v>5</v>
      </c>
      <c r="E12" s="3">
        <v>58</v>
      </c>
      <c r="F12" s="3">
        <v>11</v>
      </c>
      <c r="G12" s="3">
        <v>30</v>
      </c>
      <c r="H12" s="4" t="s">
        <v>320</v>
      </c>
      <c r="I12" s="3">
        <v>8</v>
      </c>
      <c r="J12" s="9">
        <v>8.2429</v>
      </c>
      <c r="K12" s="9">
        <v>10.4834</v>
      </c>
      <c r="L12" s="9">
        <v>10.0229</v>
      </c>
      <c r="M12" s="10">
        <f t="shared" si="0"/>
        <v>20.553447891095733</v>
      </c>
      <c r="N12" s="10">
        <f>AVERAGE(M12:M14)</f>
        <v>31.04190578970872</v>
      </c>
      <c r="O12" s="3">
        <v>26.4</v>
      </c>
      <c r="P12" s="3">
        <f t="shared" si="7"/>
        <v>25.299999999999997</v>
      </c>
      <c r="Q12" s="21">
        <f t="shared" si="1"/>
        <v>2547.7707006369424</v>
      </c>
      <c r="R12" s="21">
        <f t="shared" si="2"/>
        <v>29554.14012738853</v>
      </c>
      <c r="S12" s="21">
        <f t="shared" si="3"/>
        <v>5605.095541401273</v>
      </c>
      <c r="T12" s="21">
        <f t="shared" si="4"/>
        <v>15286.624203821653</v>
      </c>
      <c r="U12" s="21">
        <f t="shared" si="5"/>
        <v>52993.630573248396</v>
      </c>
      <c r="V12" s="24">
        <f t="shared" si="13"/>
        <v>0.19762845849802374</v>
      </c>
      <c r="W12" s="24">
        <f t="shared" si="14"/>
        <v>2.292490118577075</v>
      </c>
      <c r="X12" s="24">
        <f t="shared" si="15"/>
        <v>0.4347826086956522</v>
      </c>
      <c r="Y12" s="24">
        <f t="shared" si="16"/>
        <v>1.1857707509881423</v>
      </c>
      <c r="Z12" s="24">
        <f t="shared" si="17"/>
        <v>4.1106719367588935</v>
      </c>
      <c r="AA12" s="24">
        <f t="shared" si="8"/>
        <v>0.9615343349941852</v>
      </c>
      <c r="AB12" s="24">
        <f t="shared" si="9"/>
        <v>11.153798285932547</v>
      </c>
      <c r="AC12" s="24">
        <f t="shared" si="10"/>
        <v>2.1153755369872074</v>
      </c>
      <c r="AD12" s="24">
        <f t="shared" si="11"/>
        <v>5.769206009965111</v>
      </c>
      <c r="AE12" s="24">
        <f t="shared" si="12"/>
        <v>19.99991416787905</v>
      </c>
      <c r="AF12" s="34">
        <f>AVERAGE(U12:U14)</f>
        <v>77791.93205944798</v>
      </c>
      <c r="AG12" s="34">
        <f>STDEV(U12:U14)/SQRT(3)</f>
        <v>38529.317070822195</v>
      </c>
      <c r="AH12" s="35">
        <f>AVERAGE(Z12:Z14)</f>
        <v>9.139856142972526</v>
      </c>
      <c r="AI12" s="35">
        <f>STDEV(Z12:Z14)/SQRT(3)</f>
        <v>5.545298741338568</v>
      </c>
      <c r="AJ12" s="35">
        <f>AVERAGE(AE12:AE14)</f>
        <v>32.20756866996857</v>
      </c>
      <c r="AK12" s="35">
        <f>STDEV(AE12:AE14)/SQRT(3)</f>
        <v>19.017782497478322</v>
      </c>
    </row>
    <row r="13" spans="1:37" ht="12.75">
      <c r="A13" s="1">
        <v>2</v>
      </c>
      <c r="B13" s="1" t="s">
        <v>11</v>
      </c>
      <c r="C13" s="1">
        <v>2</v>
      </c>
      <c r="D13" s="1">
        <v>0</v>
      </c>
      <c r="E13" s="1">
        <v>36</v>
      </c>
      <c r="F13" s="1">
        <v>5</v>
      </c>
      <c r="G13" s="1">
        <v>12</v>
      </c>
      <c r="H13" s="2" t="s">
        <v>321</v>
      </c>
      <c r="I13" s="1">
        <v>6</v>
      </c>
      <c r="J13" s="9">
        <v>7.8276</v>
      </c>
      <c r="K13" s="9">
        <v>9.359</v>
      </c>
      <c r="L13" s="9">
        <v>8.693</v>
      </c>
      <c r="M13" s="10">
        <f t="shared" si="0"/>
        <v>43.48961734360719</v>
      </c>
      <c r="N13" s="10"/>
      <c r="O13" s="1">
        <v>18.23</v>
      </c>
      <c r="P13" s="3">
        <f t="shared" si="7"/>
        <v>17.13</v>
      </c>
      <c r="Q13" s="21">
        <f t="shared" si="1"/>
        <v>0</v>
      </c>
      <c r="R13" s="21">
        <f t="shared" si="2"/>
        <v>18343.949044585985</v>
      </c>
      <c r="S13" s="21">
        <f t="shared" si="3"/>
        <v>2547.7707006369424</v>
      </c>
      <c r="T13" s="21">
        <f t="shared" si="4"/>
        <v>6114.649681528662</v>
      </c>
      <c r="U13" s="21">
        <f t="shared" si="5"/>
        <v>27006.36942675159</v>
      </c>
      <c r="V13" s="24">
        <f t="shared" si="13"/>
        <v>0</v>
      </c>
      <c r="W13" s="24">
        <f t="shared" si="14"/>
        <v>2.1015761821366024</v>
      </c>
      <c r="X13" s="24">
        <f t="shared" si="15"/>
        <v>0.2918855808523059</v>
      </c>
      <c r="Y13" s="24">
        <f t="shared" si="16"/>
        <v>0.7005253940455342</v>
      </c>
      <c r="Z13" s="24">
        <f t="shared" si="17"/>
        <v>3.0939871570344426</v>
      </c>
      <c r="AA13" s="24">
        <f t="shared" si="8"/>
        <v>0</v>
      </c>
      <c r="AB13" s="24">
        <f t="shared" si="9"/>
        <v>4.832363010996983</v>
      </c>
      <c r="AC13" s="24">
        <f t="shared" si="10"/>
        <v>0.6711615293051364</v>
      </c>
      <c r="AD13" s="24">
        <f t="shared" si="11"/>
        <v>1.6107876703323274</v>
      </c>
      <c r="AE13" s="24">
        <f t="shared" si="12"/>
        <v>7.114312210634447</v>
      </c>
      <c r="AF13" s="34"/>
      <c r="AG13" s="34"/>
      <c r="AH13" s="35"/>
      <c r="AI13" s="35"/>
      <c r="AJ13" s="35"/>
      <c r="AK13" s="35"/>
    </row>
    <row r="14" spans="1:37" ht="12.75">
      <c r="A14" s="1">
        <v>2</v>
      </c>
      <c r="B14" s="1" t="s">
        <v>11</v>
      </c>
      <c r="C14" s="1">
        <v>3</v>
      </c>
      <c r="D14" s="1" t="s">
        <v>331</v>
      </c>
      <c r="E14" s="1" t="s">
        <v>331</v>
      </c>
      <c r="F14" s="1" t="s">
        <v>331</v>
      </c>
      <c r="G14" s="1" t="s">
        <v>331</v>
      </c>
      <c r="H14" s="2" t="s">
        <v>319</v>
      </c>
      <c r="I14" s="38">
        <v>301</v>
      </c>
      <c r="J14" s="9">
        <v>7.8075</v>
      </c>
      <c r="K14" s="9">
        <v>10.0095</v>
      </c>
      <c r="L14" s="9">
        <v>9.3691</v>
      </c>
      <c r="M14" s="10">
        <f t="shared" si="0"/>
        <v>29.08265213442325</v>
      </c>
      <c r="N14" s="10"/>
      <c r="O14" s="1">
        <v>15.99</v>
      </c>
      <c r="P14" s="3">
        <f t="shared" si="7"/>
        <v>14.89</v>
      </c>
      <c r="Q14" s="21" t="s">
        <v>335</v>
      </c>
      <c r="R14" s="21" t="s">
        <v>335</v>
      </c>
      <c r="S14" s="21" t="s">
        <v>335</v>
      </c>
      <c r="T14" s="21" t="s">
        <v>335</v>
      </c>
      <c r="U14" s="39">
        <f>I14/((0.025*0.025)*3.14)</f>
        <v>153375.79617834394</v>
      </c>
      <c r="V14" s="21" t="s">
        <v>335</v>
      </c>
      <c r="W14" s="21" t="s">
        <v>335</v>
      </c>
      <c r="X14" s="21" t="s">
        <v>335</v>
      </c>
      <c r="Y14" s="21" t="s">
        <v>335</v>
      </c>
      <c r="Z14" s="40">
        <f>I14/$P14</f>
        <v>20.214909335124243</v>
      </c>
      <c r="AA14" s="21" t="s">
        <v>335</v>
      </c>
      <c r="AB14" s="21" t="s">
        <v>335</v>
      </c>
      <c r="AC14" s="21" t="s">
        <v>335</v>
      </c>
      <c r="AD14" s="21" t="s">
        <v>335</v>
      </c>
      <c r="AE14" s="40">
        <f>I14/($P14*($M14/100))</f>
        <v>69.50847963139223</v>
      </c>
      <c r="AF14" s="34"/>
      <c r="AG14" s="34"/>
      <c r="AH14" s="35"/>
      <c r="AI14" s="35"/>
      <c r="AJ14" s="35"/>
      <c r="AK14" s="35"/>
    </row>
    <row r="15" spans="1:37" s="3" customFormat="1" ht="12.75">
      <c r="A15" s="3">
        <v>3</v>
      </c>
      <c r="B15" s="3" t="s">
        <v>9</v>
      </c>
      <c r="C15" s="3">
        <v>1</v>
      </c>
      <c r="D15" s="3">
        <v>53</v>
      </c>
      <c r="E15" s="3">
        <v>96</v>
      </c>
      <c r="F15" s="3">
        <v>34</v>
      </c>
      <c r="G15" s="3">
        <v>38</v>
      </c>
      <c r="H15" s="4" t="s">
        <v>322</v>
      </c>
      <c r="I15" s="3">
        <v>18</v>
      </c>
      <c r="J15" s="9">
        <v>8.0744</v>
      </c>
      <c r="K15" s="9">
        <v>9.7992</v>
      </c>
      <c r="L15" s="9">
        <v>9.2636</v>
      </c>
      <c r="M15" s="10">
        <f t="shared" si="0"/>
        <v>31.052875695732865</v>
      </c>
      <c r="N15" s="10">
        <f>AVERAGE(M15:M17)</f>
        <v>31.13765606947848</v>
      </c>
      <c r="O15" s="3">
        <v>15.47</v>
      </c>
      <c r="P15" s="3">
        <f t="shared" si="7"/>
        <v>14.370000000000001</v>
      </c>
      <c r="Q15" s="21">
        <f t="shared" si="1"/>
        <v>27006.36942675159</v>
      </c>
      <c r="R15" s="21">
        <f t="shared" si="2"/>
        <v>48917.197452229295</v>
      </c>
      <c r="S15" s="21">
        <f t="shared" si="3"/>
        <v>17324.84076433121</v>
      </c>
      <c r="T15" s="21">
        <f t="shared" si="4"/>
        <v>19363.05732484076</v>
      </c>
      <c r="U15" s="21">
        <f t="shared" si="5"/>
        <v>112611.46496815285</v>
      </c>
      <c r="V15" s="24">
        <f>D15/$P15</f>
        <v>3.6882393876130823</v>
      </c>
      <c r="W15" s="24">
        <f>E15/$P15</f>
        <v>6.680584551148225</v>
      </c>
      <c r="X15" s="24">
        <f>F15/$P15</f>
        <v>2.3660403618649966</v>
      </c>
      <c r="Y15" s="24">
        <f>G15/$P15</f>
        <v>2.6443980514961725</v>
      </c>
      <c r="Z15" s="24">
        <f>SUM(V15:Y15)</f>
        <v>15.379262352122478</v>
      </c>
      <c r="AA15" s="24">
        <f>D15/($P15*($M15/100))</f>
        <v>11.877287706786856</v>
      </c>
      <c r="AB15" s="24">
        <f>E15/($P15*($M15/100))</f>
        <v>21.51357773304789</v>
      </c>
      <c r="AC15" s="24">
        <f>F15/($P15*($M15/100))</f>
        <v>7.619392113787794</v>
      </c>
      <c r="AD15" s="24">
        <f>G15/($P15*($M15/100))</f>
        <v>8.515791185998122</v>
      </c>
      <c r="AE15" s="24">
        <f>SUM(AA15:AD15)</f>
        <v>49.52604873962066</v>
      </c>
      <c r="AF15" s="34">
        <f>AVERAGE(U15:U17)</f>
        <v>110912.95116772823</v>
      </c>
      <c r="AG15" s="34">
        <f>STDEV(U15:U17)/SQRT(3)</f>
        <v>8573.710039319874</v>
      </c>
      <c r="AH15" s="35">
        <f>AVERAGE(Z15:Z17)</f>
        <v>15.311766094286995</v>
      </c>
      <c r="AI15" s="35">
        <f>STDEV(Z15:Z17)/SQRT(3)</f>
        <v>1.384227826806318</v>
      </c>
      <c r="AJ15" s="35">
        <f>AVERAGE(AE15:AE17)</f>
        <v>51.91381075212181</v>
      </c>
      <c r="AK15" s="35">
        <f>STDEV(AE15:AE17)/SQRT(3)</f>
        <v>6.700220811907841</v>
      </c>
    </row>
    <row r="16" spans="1:37" ht="12.75">
      <c r="A16" s="1">
        <v>3</v>
      </c>
      <c r="B16" s="1" t="s">
        <v>9</v>
      </c>
      <c r="C16" s="1">
        <v>2</v>
      </c>
      <c r="D16" s="1">
        <v>84</v>
      </c>
      <c r="E16" s="1">
        <v>88</v>
      </c>
      <c r="F16" s="1">
        <v>12</v>
      </c>
      <c r="G16" s="1">
        <v>61</v>
      </c>
      <c r="H16" s="2" t="s">
        <v>323</v>
      </c>
      <c r="I16" s="1">
        <v>3</v>
      </c>
      <c r="J16" s="9">
        <v>8.1064</v>
      </c>
      <c r="K16" s="9">
        <v>10.4488</v>
      </c>
      <c r="L16" s="9">
        <v>9.9812</v>
      </c>
      <c r="M16" s="10">
        <f t="shared" si="0"/>
        <v>19.962431693989114</v>
      </c>
      <c r="N16" s="10"/>
      <c r="O16" s="1">
        <v>20.12</v>
      </c>
      <c r="P16" s="3">
        <f t="shared" si="7"/>
        <v>19.02</v>
      </c>
      <c r="Q16" s="21">
        <f t="shared" si="1"/>
        <v>42802.54777070063</v>
      </c>
      <c r="R16" s="21">
        <f t="shared" si="2"/>
        <v>44840.764331210186</v>
      </c>
      <c r="S16" s="21">
        <f t="shared" si="3"/>
        <v>6114.649681528662</v>
      </c>
      <c r="T16" s="21">
        <f t="shared" si="4"/>
        <v>31082.802547770698</v>
      </c>
      <c r="U16" s="21">
        <f t="shared" si="5"/>
        <v>124840.76433121019</v>
      </c>
      <c r="V16" s="24">
        <f aca="true" t="shared" si="18" ref="V16:V27">D16/$P16</f>
        <v>4.416403785488959</v>
      </c>
      <c r="W16" s="24">
        <f aca="true" t="shared" si="19" ref="W16:W27">E16/$P16</f>
        <v>4.6267087276551</v>
      </c>
      <c r="X16" s="24">
        <f aca="true" t="shared" si="20" ref="X16:X27">F16/$P16</f>
        <v>0.6309148264984227</v>
      </c>
      <c r="Y16" s="24">
        <f aca="true" t="shared" si="21" ref="Y16:Y27">G16/$P16</f>
        <v>3.207150368033649</v>
      </c>
      <c r="Z16" s="24">
        <f aca="true" t="shared" si="22" ref="Z16:Z27">SUM(V16:Y16)</f>
        <v>12.88117770767613</v>
      </c>
      <c r="AA16" s="24">
        <f aca="true" t="shared" si="23" ref="AA16:AA27">D16/($P16*($M16/100))</f>
        <v>22.123576191465602</v>
      </c>
      <c r="AB16" s="24">
        <f aca="true" t="shared" si="24" ref="AB16:AB27">E16/($P16*($M16/100))</f>
        <v>23.17707981963063</v>
      </c>
      <c r="AC16" s="24">
        <f aca="true" t="shared" si="25" ref="AC16:AC27">F16/($P16*($M16/100))</f>
        <v>3.160510884495086</v>
      </c>
      <c r="AD16" s="24">
        <f aca="true" t="shared" si="26" ref="AD16:AD27">G16/($P16*($M16/100))</f>
        <v>16.065930329516686</v>
      </c>
      <c r="AE16" s="24">
        <f aca="true" t="shared" si="27" ref="AE16:AE27">SUM(AA16:AD16)</f>
        <v>64.52709722510801</v>
      </c>
      <c r="AF16" s="34"/>
      <c r="AG16" s="34"/>
      <c r="AH16" s="35"/>
      <c r="AI16" s="35"/>
      <c r="AJ16" s="35"/>
      <c r="AK16" s="35"/>
    </row>
    <row r="17" spans="1:37" ht="12.75">
      <c r="A17" s="1">
        <v>3</v>
      </c>
      <c r="B17" s="1" t="s">
        <v>9</v>
      </c>
      <c r="C17" s="1">
        <v>3</v>
      </c>
      <c r="D17" s="1">
        <v>65</v>
      </c>
      <c r="E17" s="1">
        <v>64</v>
      </c>
      <c r="F17" s="1">
        <v>30</v>
      </c>
      <c r="G17" s="1">
        <v>28</v>
      </c>
      <c r="H17" s="2" t="s">
        <v>324</v>
      </c>
      <c r="I17" s="1">
        <v>14</v>
      </c>
      <c r="J17" s="9">
        <v>8.6241</v>
      </c>
      <c r="K17" s="9">
        <v>9.9237</v>
      </c>
      <c r="L17" s="9">
        <v>9.3727</v>
      </c>
      <c r="M17" s="10">
        <f t="shared" si="0"/>
        <v>42.39766081871347</v>
      </c>
      <c r="N17" s="10"/>
      <c r="O17" s="1">
        <v>11.68</v>
      </c>
      <c r="P17" s="3">
        <f t="shared" si="7"/>
        <v>10.58</v>
      </c>
      <c r="Q17" s="21">
        <f t="shared" si="1"/>
        <v>33121.01910828025</v>
      </c>
      <c r="R17" s="21">
        <f t="shared" si="2"/>
        <v>32611.46496815286</v>
      </c>
      <c r="S17" s="21">
        <f t="shared" si="3"/>
        <v>15286.624203821653</v>
      </c>
      <c r="T17" s="21">
        <f t="shared" si="4"/>
        <v>14267.515923566876</v>
      </c>
      <c r="U17" s="21">
        <f t="shared" si="5"/>
        <v>95286.62420382164</v>
      </c>
      <c r="V17" s="24">
        <f t="shared" si="18"/>
        <v>6.143667296786389</v>
      </c>
      <c r="W17" s="24">
        <f t="shared" si="19"/>
        <v>6.049149338374291</v>
      </c>
      <c r="X17" s="24">
        <f t="shared" si="20"/>
        <v>2.835538752362949</v>
      </c>
      <c r="Y17" s="24">
        <f t="shared" si="21"/>
        <v>2.6465028355387523</v>
      </c>
      <c r="Z17" s="24">
        <f t="shared" si="22"/>
        <v>17.67485822306238</v>
      </c>
      <c r="AA17" s="24">
        <f t="shared" si="23"/>
        <v>14.490580796558238</v>
      </c>
      <c r="AB17" s="24">
        <f t="shared" si="24"/>
        <v>14.267648784303496</v>
      </c>
      <c r="AC17" s="24">
        <f t="shared" si="25"/>
        <v>6.687960367642264</v>
      </c>
      <c r="AD17" s="24">
        <f t="shared" si="26"/>
        <v>6.242096343132779</v>
      </c>
      <c r="AE17" s="24">
        <f t="shared" si="27"/>
        <v>41.68828629163678</v>
      </c>
      <c r="AF17" s="34"/>
      <c r="AG17" s="34"/>
      <c r="AH17" s="35"/>
      <c r="AI17" s="35"/>
      <c r="AJ17" s="35"/>
      <c r="AK17" s="35"/>
    </row>
    <row r="18" spans="1:37" s="3" customFormat="1" ht="12.75">
      <c r="A18" s="3">
        <v>3</v>
      </c>
      <c r="B18" s="3" t="s">
        <v>11</v>
      </c>
      <c r="C18" s="3">
        <v>1</v>
      </c>
      <c r="D18" s="3">
        <v>7</v>
      </c>
      <c r="E18" s="3">
        <v>9</v>
      </c>
      <c r="F18" s="3">
        <v>7</v>
      </c>
      <c r="G18" s="3">
        <v>6</v>
      </c>
      <c r="H18" s="4"/>
      <c r="I18" s="3">
        <v>0</v>
      </c>
      <c r="J18" s="9">
        <v>8.762</v>
      </c>
      <c r="K18" s="9">
        <v>10.712</v>
      </c>
      <c r="L18" s="9">
        <v>9.9573</v>
      </c>
      <c r="M18" s="10">
        <f t="shared" si="0"/>
        <v>38.702564102564104</v>
      </c>
      <c r="N18" s="10">
        <f>AVERAGE(M18:M20)</f>
        <v>43.63355511058666</v>
      </c>
      <c r="O18" s="3">
        <v>10.65</v>
      </c>
      <c r="P18" s="3">
        <f t="shared" si="7"/>
        <v>9.55</v>
      </c>
      <c r="Q18" s="21">
        <f t="shared" si="1"/>
        <v>3566.878980891719</v>
      </c>
      <c r="R18" s="21">
        <f t="shared" si="2"/>
        <v>4585.987261146496</v>
      </c>
      <c r="S18" s="21">
        <f t="shared" si="3"/>
        <v>3566.878980891719</v>
      </c>
      <c r="T18" s="21">
        <f t="shared" si="4"/>
        <v>3057.324840764331</v>
      </c>
      <c r="U18" s="21">
        <f t="shared" si="5"/>
        <v>14777.070063694266</v>
      </c>
      <c r="V18" s="24">
        <f t="shared" si="18"/>
        <v>0.7329842931937173</v>
      </c>
      <c r="W18" s="24">
        <f t="shared" si="19"/>
        <v>0.9424083769633507</v>
      </c>
      <c r="X18" s="24">
        <f t="shared" si="20"/>
        <v>0.7329842931937173</v>
      </c>
      <c r="Y18" s="24">
        <f t="shared" si="21"/>
        <v>0.6282722513089005</v>
      </c>
      <c r="Z18" s="24">
        <f t="shared" si="22"/>
        <v>3.036649214659686</v>
      </c>
      <c r="AA18" s="24">
        <f t="shared" si="23"/>
        <v>1.8938907800818188</v>
      </c>
      <c r="AB18" s="24">
        <f t="shared" si="24"/>
        <v>2.4350024315337673</v>
      </c>
      <c r="AC18" s="24">
        <f t="shared" si="25"/>
        <v>1.8938907800818188</v>
      </c>
      <c r="AD18" s="24">
        <f t="shared" si="26"/>
        <v>1.6233349543558446</v>
      </c>
      <c r="AE18" s="24">
        <f t="shared" si="27"/>
        <v>7.84611894605325</v>
      </c>
      <c r="AF18" s="34">
        <f>AVERAGE(U18:U20)</f>
        <v>48067.940552016975</v>
      </c>
      <c r="AG18" s="34">
        <f>STDEV(U18:U20)/SQRT(3)</f>
        <v>20556.227745022068</v>
      </c>
      <c r="AH18" s="35">
        <f>AVERAGE(Z18:Z20)</f>
        <v>8.182603057625487</v>
      </c>
      <c r="AI18" s="35">
        <f>STDEV(Z18:Z20)/SQRT(3)</f>
        <v>4.7292786648398195</v>
      </c>
      <c r="AJ18" s="35">
        <f>AVERAGE(AE18:AE20)</f>
        <v>17.329053998059376</v>
      </c>
      <c r="AK18" s="35">
        <f>STDEV(AE18:AE20)/SQRT(3)</f>
        <v>4.906801284474024</v>
      </c>
    </row>
    <row r="19" spans="1:37" ht="12.75">
      <c r="A19" s="1">
        <v>3</v>
      </c>
      <c r="B19" s="1" t="s">
        <v>11</v>
      </c>
      <c r="C19" s="1">
        <v>2</v>
      </c>
      <c r="D19" s="1">
        <v>13</v>
      </c>
      <c r="E19" s="1">
        <v>85</v>
      </c>
      <c r="F19" s="1">
        <v>12</v>
      </c>
      <c r="G19" s="1">
        <v>58</v>
      </c>
      <c r="H19" s="2" t="s">
        <v>325</v>
      </c>
      <c r="I19" s="1">
        <v>3</v>
      </c>
      <c r="J19" s="9">
        <v>6.7707</v>
      </c>
      <c r="K19" s="9">
        <v>7.9921</v>
      </c>
      <c r="L19" s="9">
        <v>7.1045</v>
      </c>
      <c r="M19" s="10">
        <f t="shared" si="0"/>
        <v>72.67070574750285</v>
      </c>
      <c r="N19" s="10"/>
      <c r="O19" s="1">
        <v>10.63</v>
      </c>
      <c r="P19" s="3">
        <f t="shared" si="7"/>
        <v>9.530000000000001</v>
      </c>
      <c r="Q19" s="21">
        <f t="shared" si="1"/>
        <v>6624.20382165605</v>
      </c>
      <c r="R19" s="21">
        <f t="shared" si="2"/>
        <v>43312.101910828016</v>
      </c>
      <c r="S19" s="21">
        <f t="shared" si="3"/>
        <v>6114.649681528662</v>
      </c>
      <c r="T19" s="21">
        <f t="shared" si="4"/>
        <v>29554.14012738853</v>
      </c>
      <c r="U19" s="21">
        <f t="shared" si="5"/>
        <v>85605.09554140126</v>
      </c>
      <c r="V19" s="24">
        <f t="shared" si="18"/>
        <v>1.3641133263378802</v>
      </c>
      <c r="W19" s="24">
        <f t="shared" si="19"/>
        <v>8.919202518363063</v>
      </c>
      <c r="X19" s="24">
        <f t="shared" si="20"/>
        <v>1.259181532004197</v>
      </c>
      <c r="Y19" s="24">
        <f t="shared" si="21"/>
        <v>6.086044071353619</v>
      </c>
      <c r="Z19" s="24">
        <f t="shared" si="22"/>
        <v>17.628541448058762</v>
      </c>
      <c r="AA19" s="24">
        <f t="shared" si="23"/>
        <v>1.8771158368511573</v>
      </c>
      <c r="AB19" s="24">
        <f t="shared" si="24"/>
        <v>12.273449702488337</v>
      </c>
      <c r="AC19" s="24">
        <f t="shared" si="25"/>
        <v>1.73272231093953</v>
      </c>
      <c r="AD19" s="24">
        <f t="shared" si="26"/>
        <v>8.374824502874395</v>
      </c>
      <c r="AE19" s="24">
        <f t="shared" si="27"/>
        <v>24.25811235315342</v>
      </c>
      <c r="AF19" s="34"/>
      <c r="AG19" s="34"/>
      <c r="AH19" s="35"/>
      <c r="AI19" s="35"/>
      <c r="AJ19" s="35"/>
      <c r="AK19" s="35"/>
    </row>
    <row r="20" spans="1:37" ht="12.75">
      <c r="A20" s="1">
        <v>3</v>
      </c>
      <c r="B20" s="1" t="s">
        <v>11</v>
      </c>
      <c r="C20" s="1">
        <v>3</v>
      </c>
      <c r="D20" s="1">
        <v>14</v>
      </c>
      <c r="E20" s="1">
        <v>39</v>
      </c>
      <c r="F20" s="1">
        <v>11</v>
      </c>
      <c r="G20" s="1">
        <v>22</v>
      </c>
      <c r="H20" s="2" t="s">
        <v>52</v>
      </c>
      <c r="I20" s="1">
        <v>5</v>
      </c>
      <c r="J20" s="9">
        <v>7.0192</v>
      </c>
      <c r="K20" s="9">
        <v>8.9447</v>
      </c>
      <c r="L20" s="9">
        <v>8.5687</v>
      </c>
      <c r="M20" s="10">
        <f t="shared" si="0"/>
        <v>19.52739548169304</v>
      </c>
      <c r="N20" s="10"/>
      <c r="O20" s="1">
        <v>23.25</v>
      </c>
      <c r="P20" s="3">
        <f t="shared" si="7"/>
        <v>22.15</v>
      </c>
      <c r="Q20" s="21">
        <f t="shared" si="1"/>
        <v>7133.757961783438</v>
      </c>
      <c r="R20" s="21">
        <f t="shared" si="2"/>
        <v>19872.61146496815</v>
      </c>
      <c r="S20" s="21">
        <f t="shared" si="3"/>
        <v>5605.095541401273</v>
      </c>
      <c r="T20" s="21">
        <f t="shared" si="4"/>
        <v>11210.191082802547</v>
      </c>
      <c r="U20" s="21">
        <f t="shared" si="5"/>
        <v>43821.65605095541</v>
      </c>
      <c r="V20" s="24">
        <f t="shared" si="18"/>
        <v>0.6320541760722348</v>
      </c>
      <c r="W20" s="24">
        <f t="shared" si="19"/>
        <v>1.7607223476297968</v>
      </c>
      <c r="X20" s="24">
        <f t="shared" si="20"/>
        <v>0.49661399548532736</v>
      </c>
      <c r="Y20" s="24">
        <f t="shared" si="21"/>
        <v>0.9932279909706547</v>
      </c>
      <c r="Z20" s="24">
        <f t="shared" si="22"/>
        <v>3.8826185101580135</v>
      </c>
      <c r="AA20" s="24">
        <f t="shared" si="23"/>
        <v>3.2367561596465153</v>
      </c>
      <c r="AB20" s="24">
        <f t="shared" si="24"/>
        <v>9.016677873301008</v>
      </c>
      <c r="AC20" s="24">
        <f t="shared" si="25"/>
        <v>2.5431655540079765</v>
      </c>
      <c r="AD20" s="24">
        <f t="shared" si="26"/>
        <v>5.086331108015953</v>
      </c>
      <c r="AE20" s="24">
        <f t="shared" si="27"/>
        <v>19.882930694971456</v>
      </c>
      <c r="AF20" s="34"/>
      <c r="AG20" s="34"/>
      <c r="AH20" s="35"/>
      <c r="AI20" s="35"/>
      <c r="AJ20" s="35"/>
      <c r="AK20" s="35"/>
    </row>
    <row r="21" spans="1:37" s="3" customFormat="1" ht="12.75">
      <c r="A21" s="3">
        <v>4</v>
      </c>
      <c r="B21" s="3" t="s">
        <v>9</v>
      </c>
      <c r="C21" s="3">
        <v>1</v>
      </c>
      <c r="D21" s="3">
        <v>3</v>
      </c>
      <c r="E21" s="3">
        <v>42</v>
      </c>
      <c r="F21" s="3">
        <v>8</v>
      </c>
      <c r="G21" s="3">
        <v>2</v>
      </c>
      <c r="H21" s="4"/>
      <c r="I21" s="3">
        <v>0</v>
      </c>
      <c r="J21" s="9">
        <v>9.161</v>
      </c>
      <c r="K21" s="9">
        <v>10.3815</v>
      </c>
      <c r="L21" s="9">
        <v>9.6576</v>
      </c>
      <c r="M21" s="10">
        <f t="shared" si="0"/>
        <v>59.31175747644406</v>
      </c>
      <c r="N21" s="10">
        <f>AVERAGE(M21:M23)</f>
        <v>49.09579069981917</v>
      </c>
      <c r="O21" s="3">
        <v>11.44</v>
      </c>
      <c r="P21" s="3">
        <f t="shared" si="7"/>
        <v>10.34</v>
      </c>
      <c r="Q21" s="21">
        <f t="shared" si="1"/>
        <v>1528.6624203821655</v>
      </c>
      <c r="R21" s="21">
        <f t="shared" si="2"/>
        <v>21401.273885350314</v>
      </c>
      <c r="S21" s="21">
        <f t="shared" si="3"/>
        <v>4076.4331210191076</v>
      </c>
      <c r="T21" s="21">
        <f t="shared" si="4"/>
        <v>1019.1082802547769</v>
      </c>
      <c r="U21" s="21">
        <f t="shared" si="5"/>
        <v>28025.477707006365</v>
      </c>
      <c r="V21" s="24">
        <f t="shared" si="18"/>
        <v>0.2901353965183752</v>
      </c>
      <c r="W21" s="24">
        <f t="shared" si="19"/>
        <v>4.061895551257254</v>
      </c>
      <c r="X21" s="24">
        <f t="shared" si="20"/>
        <v>0.7736943907156674</v>
      </c>
      <c r="Y21" s="24">
        <f t="shared" si="21"/>
        <v>0.19342359767891684</v>
      </c>
      <c r="Z21" s="24">
        <f t="shared" si="22"/>
        <v>5.319148936170214</v>
      </c>
      <c r="AA21" s="24">
        <f t="shared" si="23"/>
        <v>0.48917012218632006</v>
      </c>
      <c r="AB21" s="24">
        <f t="shared" si="24"/>
        <v>6.848381710608481</v>
      </c>
      <c r="AC21" s="24">
        <f t="shared" si="25"/>
        <v>1.30445365916352</v>
      </c>
      <c r="AD21" s="24">
        <f t="shared" si="26"/>
        <v>0.32611341479088</v>
      </c>
      <c r="AE21" s="24">
        <f t="shared" si="27"/>
        <v>8.968118906749202</v>
      </c>
      <c r="AF21" s="34">
        <f>AVERAGE(U21:U23)</f>
        <v>42972.39915074309</v>
      </c>
      <c r="AG21" s="34">
        <f>STDEV(U21:U23)/SQRT(3)</f>
        <v>8832.271762208082</v>
      </c>
      <c r="AH21" s="35">
        <f>AVERAGE(Z21:Z23)</f>
        <v>5.78244865421109</v>
      </c>
      <c r="AI21" s="35">
        <f>STDEV(Z21:Z23)/SQRT(3)</f>
        <v>0.5673096569133902</v>
      </c>
      <c r="AJ21" s="35">
        <f>AVERAGE(AE21:AE23)</f>
        <v>12.236464532405611</v>
      </c>
      <c r="AK21" s="35">
        <f>STDEV(AE21:AE23)/SQRT(3)</f>
        <v>2.367407471707004</v>
      </c>
    </row>
    <row r="22" spans="1:37" ht="12.75">
      <c r="A22" s="1">
        <v>4</v>
      </c>
      <c r="B22" s="1" t="s">
        <v>9</v>
      </c>
      <c r="C22" s="1">
        <v>2</v>
      </c>
      <c r="D22" s="1">
        <v>61</v>
      </c>
      <c r="E22" s="1">
        <v>19</v>
      </c>
      <c r="F22" s="1">
        <v>8</v>
      </c>
      <c r="G22" s="1">
        <v>27</v>
      </c>
      <c r="H22" s="2" t="s">
        <v>326</v>
      </c>
      <c r="I22" s="1">
        <v>3</v>
      </c>
      <c r="J22" s="9">
        <v>7.8677</v>
      </c>
      <c r="K22" s="9">
        <v>9.3692</v>
      </c>
      <c r="L22" s="9">
        <v>8.7529</v>
      </c>
      <c r="M22" s="10">
        <f t="shared" si="0"/>
        <v>41.045621045621</v>
      </c>
      <c r="N22" s="10"/>
      <c r="O22" s="1">
        <v>17.74</v>
      </c>
      <c r="P22" s="3">
        <f t="shared" si="7"/>
        <v>16.639999999999997</v>
      </c>
      <c r="Q22" s="21">
        <f t="shared" si="1"/>
        <v>31082.802547770698</v>
      </c>
      <c r="R22" s="21">
        <f t="shared" si="2"/>
        <v>9681.52866242038</v>
      </c>
      <c r="S22" s="21">
        <f t="shared" si="3"/>
        <v>4076.4331210191076</v>
      </c>
      <c r="T22" s="21">
        <f t="shared" si="4"/>
        <v>13757.961783439488</v>
      </c>
      <c r="U22" s="21">
        <f t="shared" si="5"/>
        <v>58598.726114649675</v>
      </c>
      <c r="V22" s="24">
        <f t="shared" si="18"/>
        <v>3.6658653846153855</v>
      </c>
      <c r="W22" s="24">
        <f t="shared" si="19"/>
        <v>1.1418269230769234</v>
      </c>
      <c r="X22" s="24">
        <f t="shared" si="20"/>
        <v>0.48076923076923084</v>
      </c>
      <c r="Y22" s="24">
        <f t="shared" si="21"/>
        <v>1.6225961538461542</v>
      </c>
      <c r="Z22" s="24">
        <f t="shared" si="22"/>
        <v>6.911057692307693</v>
      </c>
      <c r="AA22" s="24">
        <f t="shared" si="23"/>
        <v>8.931197265941924</v>
      </c>
      <c r="AB22" s="24">
        <f t="shared" si="24"/>
        <v>2.781848328736009</v>
      </c>
      <c r="AC22" s="24">
        <f t="shared" si="25"/>
        <v>1.1713045594677933</v>
      </c>
      <c r="AD22" s="24">
        <f t="shared" si="26"/>
        <v>3.9531528882038023</v>
      </c>
      <c r="AE22" s="24">
        <f t="shared" si="27"/>
        <v>16.837503042349528</v>
      </c>
      <c r="AF22" s="34"/>
      <c r="AG22" s="34"/>
      <c r="AH22" s="35"/>
      <c r="AI22" s="35"/>
      <c r="AJ22" s="35"/>
      <c r="AK22" s="35"/>
    </row>
    <row r="23" spans="1:37" ht="12.75">
      <c r="A23" s="1">
        <v>4</v>
      </c>
      <c r="B23" s="1" t="s">
        <v>9</v>
      </c>
      <c r="C23" s="1">
        <v>3</v>
      </c>
      <c r="D23" s="1">
        <v>11</v>
      </c>
      <c r="E23" s="1">
        <v>47</v>
      </c>
      <c r="F23" s="1">
        <v>9</v>
      </c>
      <c r="G23" s="1">
        <v>16</v>
      </c>
      <c r="H23" s="2" t="s">
        <v>52</v>
      </c>
      <c r="I23" s="1">
        <v>0</v>
      </c>
      <c r="J23" s="9">
        <v>7.7308</v>
      </c>
      <c r="K23" s="9">
        <v>9.2878</v>
      </c>
      <c r="L23" s="9">
        <v>8.5571</v>
      </c>
      <c r="M23" s="10">
        <f t="shared" si="0"/>
        <v>46.929993577392445</v>
      </c>
      <c r="N23" s="10"/>
      <c r="O23" s="1">
        <v>17.32</v>
      </c>
      <c r="P23" s="3">
        <f t="shared" si="7"/>
        <v>16.22</v>
      </c>
      <c r="Q23" s="21">
        <f t="shared" si="1"/>
        <v>5605.095541401273</v>
      </c>
      <c r="R23" s="21">
        <f t="shared" si="2"/>
        <v>23949.044585987256</v>
      </c>
      <c r="S23" s="21">
        <f t="shared" si="3"/>
        <v>4585.987261146496</v>
      </c>
      <c r="T23" s="21">
        <f t="shared" si="4"/>
        <v>8152.866242038215</v>
      </c>
      <c r="U23" s="21">
        <f t="shared" si="5"/>
        <v>42292.99363057324</v>
      </c>
      <c r="V23" s="24">
        <f t="shared" si="18"/>
        <v>0.6781750924784218</v>
      </c>
      <c r="W23" s="24">
        <f t="shared" si="19"/>
        <v>2.8976572133168927</v>
      </c>
      <c r="X23" s="24">
        <f t="shared" si="20"/>
        <v>0.5548705302096177</v>
      </c>
      <c r="Y23" s="24">
        <f t="shared" si="21"/>
        <v>0.9864364981504317</v>
      </c>
      <c r="Z23" s="24">
        <f t="shared" si="22"/>
        <v>5.117139334155364</v>
      </c>
      <c r="AA23" s="24">
        <f t="shared" si="23"/>
        <v>1.4450781702325197</v>
      </c>
      <c r="AB23" s="24">
        <f t="shared" si="24"/>
        <v>6.174424909175311</v>
      </c>
      <c r="AC23" s="24">
        <f t="shared" si="25"/>
        <v>1.182336684735698</v>
      </c>
      <c r="AD23" s="24">
        <f t="shared" si="26"/>
        <v>2.101931883974574</v>
      </c>
      <c r="AE23" s="24">
        <f t="shared" si="27"/>
        <v>10.903771648118104</v>
      </c>
      <c r="AF23" s="34"/>
      <c r="AG23" s="34"/>
      <c r="AH23" s="35"/>
      <c r="AI23" s="35"/>
      <c r="AJ23" s="35"/>
      <c r="AK23" s="35"/>
    </row>
    <row r="24" spans="1:37" s="3" customFormat="1" ht="12.75">
      <c r="A24" s="3">
        <v>4</v>
      </c>
      <c r="B24" s="3" t="s">
        <v>11</v>
      </c>
      <c r="C24" s="3">
        <v>1</v>
      </c>
      <c r="D24" s="3">
        <v>39</v>
      </c>
      <c r="E24" s="3">
        <v>24</v>
      </c>
      <c r="F24" s="3">
        <v>2</v>
      </c>
      <c r="G24" s="3">
        <v>16</v>
      </c>
      <c r="H24" s="4" t="s">
        <v>175</v>
      </c>
      <c r="I24" s="3">
        <v>12</v>
      </c>
      <c r="J24" s="9">
        <v>9.0953</v>
      </c>
      <c r="K24" s="9">
        <v>10.6872</v>
      </c>
      <c r="L24" s="9">
        <v>10.0013</v>
      </c>
      <c r="M24" s="10">
        <f t="shared" si="0"/>
        <v>43.08687731641434</v>
      </c>
      <c r="N24" s="10">
        <f>AVERAGE(M24:M26)</f>
        <v>51.13566080791435</v>
      </c>
      <c r="O24" s="3">
        <v>15.66</v>
      </c>
      <c r="P24" s="3">
        <f t="shared" si="7"/>
        <v>14.56</v>
      </c>
      <c r="Q24" s="21">
        <f t="shared" si="1"/>
        <v>19872.61146496815</v>
      </c>
      <c r="R24" s="21">
        <f t="shared" si="2"/>
        <v>12229.299363057324</v>
      </c>
      <c r="S24" s="21">
        <f t="shared" si="3"/>
        <v>1019.1082802547769</v>
      </c>
      <c r="T24" s="21">
        <f t="shared" si="4"/>
        <v>8152.866242038215</v>
      </c>
      <c r="U24" s="21">
        <f t="shared" si="5"/>
        <v>41273.885350318465</v>
      </c>
      <c r="V24" s="24">
        <f t="shared" si="18"/>
        <v>2.6785714285714284</v>
      </c>
      <c r="W24" s="24">
        <f t="shared" si="19"/>
        <v>1.6483516483516483</v>
      </c>
      <c r="X24" s="24">
        <f t="shared" si="20"/>
        <v>0.13736263736263735</v>
      </c>
      <c r="Y24" s="24">
        <f t="shared" si="21"/>
        <v>1.0989010989010988</v>
      </c>
      <c r="Z24" s="24">
        <f t="shared" si="22"/>
        <v>5.563186813186813</v>
      </c>
      <c r="AA24" s="24">
        <f t="shared" si="23"/>
        <v>6.216675692000084</v>
      </c>
      <c r="AB24" s="24">
        <f t="shared" si="24"/>
        <v>3.8256465796923598</v>
      </c>
      <c r="AC24" s="24">
        <f t="shared" si="25"/>
        <v>0.31880388164102996</v>
      </c>
      <c r="AD24" s="24">
        <f t="shared" si="26"/>
        <v>2.5504310531282397</v>
      </c>
      <c r="AE24" s="24">
        <f t="shared" si="27"/>
        <v>12.911557206461714</v>
      </c>
      <c r="AF24" s="34">
        <f>AVERAGE(U24:U26)</f>
        <v>94267.51592356687</v>
      </c>
      <c r="AG24" s="34">
        <f>STDEV(U24:U26)/SQRT(3)</f>
        <v>36433.4179608703</v>
      </c>
      <c r="AH24" s="35">
        <f>AVERAGE(Z24:Z26)</f>
        <v>21.35820640034123</v>
      </c>
      <c r="AI24" s="35">
        <f>STDEV(Z24:Z26)/SQRT(3)</f>
        <v>12.139756129748111</v>
      </c>
      <c r="AJ24" s="35">
        <f>AVERAGE(AE24:AE26)</f>
        <v>38.90175540386885</v>
      </c>
      <c r="AK24" s="35">
        <f>STDEV(AE24:AE26)/SQRT(3)</f>
        <v>20.17756389492344</v>
      </c>
    </row>
    <row r="25" spans="1:37" ht="12.75">
      <c r="A25" s="1">
        <v>4</v>
      </c>
      <c r="B25" s="1" t="s">
        <v>11</v>
      </c>
      <c r="C25" s="1">
        <v>2</v>
      </c>
      <c r="D25" s="1">
        <v>127</v>
      </c>
      <c r="E25" s="1">
        <v>110</v>
      </c>
      <c r="F25" s="1">
        <v>21</v>
      </c>
      <c r="G25" s="1">
        <v>64</v>
      </c>
      <c r="H25" s="2" t="s">
        <v>327</v>
      </c>
      <c r="I25" s="1">
        <v>24</v>
      </c>
      <c r="J25" s="9">
        <v>7.8195</v>
      </c>
      <c r="K25" s="9">
        <v>9.0545</v>
      </c>
      <c r="L25" s="9">
        <v>8.3442</v>
      </c>
      <c r="M25" s="10">
        <f t="shared" si="0"/>
        <v>57.51417004048579</v>
      </c>
      <c r="N25" s="10"/>
      <c r="O25" s="1">
        <v>8.22</v>
      </c>
      <c r="P25" s="3">
        <f t="shared" si="7"/>
        <v>7.120000000000001</v>
      </c>
      <c r="Q25" s="21">
        <f t="shared" si="1"/>
        <v>64713.375796178334</v>
      </c>
      <c r="R25" s="21">
        <f t="shared" si="2"/>
        <v>56050.95541401273</v>
      </c>
      <c r="S25" s="21">
        <f t="shared" si="3"/>
        <v>10700.636942675157</v>
      </c>
      <c r="T25" s="21">
        <f t="shared" si="4"/>
        <v>32611.46496815286</v>
      </c>
      <c r="U25" s="21">
        <f t="shared" si="5"/>
        <v>164076.4331210191</v>
      </c>
      <c r="V25" s="24">
        <f t="shared" si="18"/>
        <v>17.837078651685392</v>
      </c>
      <c r="W25" s="24">
        <f t="shared" si="19"/>
        <v>15.449438202247189</v>
      </c>
      <c r="X25" s="24">
        <f t="shared" si="20"/>
        <v>2.9494382022471908</v>
      </c>
      <c r="Y25" s="24">
        <f t="shared" si="21"/>
        <v>8.988764044943819</v>
      </c>
      <c r="Z25" s="24">
        <f t="shared" si="22"/>
        <v>45.2247191011236</v>
      </c>
      <c r="AA25" s="24">
        <f t="shared" si="23"/>
        <v>31.013363557414436</v>
      </c>
      <c r="AB25" s="24">
        <f t="shared" si="24"/>
        <v>26.861968435555813</v>
      </c>
      <c r="AC25" s="24">
        <f t="shared" si="25"/>
        <v>5.128193974060655</v>
      </c>
      <c r="AD25" s="24">
        <f t="shared" si="26"/>
        <v>15.628781635232471</v>
      </c>
      <c r="AE25" s="24">
        <f t="shared" si="27"/>
        <v>78.63230760226338</v>
      </c>
      <c r="AF25" s="34"/>
      <c r="AG25" s="34"/>
      <c r="AH25" s="35"/>
      <c r="AI25" s="35"/>
      <c r="AJ25" s="35"/>
      <c r="AK25" s="35"/>
    </row>
    <row r="26" spans="1:37" ht="12.75">
      <c r="A26" s="1">
        <v>4</v>
      </c>
      <c r="B26" s="1" t="s">
        <v>11</v>
      </c>
      <c r="C26" s="1">
        <v>3</v>
      </c>
      <c r="D26" s="1">
        <v>34</v>
      </c>
      <c r="E26" s="1">
        <v>79</v>
      </c>
      <c r="F26" s="1">
        <v>1</v>
      </c>
      <c r="G26" s="1">
        <v>38</v>
      </c>
      <c r="H26" s="2" t="s">
        <v>328</v>
      </c>
      <c r="I26" s="1">
        <v>1</v>
      </c>
      <c r="J26" s="9">
        <v>7.927</v>
      </c>
      <c r="K26" s="9">
        <v>9.2884</v>
      </c>
      <c r="L26" s="9">
        <v>8.5695</v>
      </c>
      <c r="M26" s="10">
        <f t="shared" si="0"/>
        <v>52.805935066842935</v>
      </c>
      <c r="N26" s="10"/>
      <c r="O26" s="1">
        <v>12.54</v>
      </c>
      <c r="P26" s="3">
        <f t="shared" si="7"/>
        <v>11.44</v>
      </c>
      <c r="Q26" s="21">
        <f t="shared" si="1"/>
        <v>17324.84076433121</v>
      </c>
      <c r="R26" s="21">
        <f t="shared" si="2"/>
        <v>40254.77707006369</v>
      </c>
      <c r="S26" s="21">
        <f t="shared" si="3"/>
        <v>509.55414012738845</v>
      </c>
      <c r="T26" s="21">
        <f t="shared" si="4"/>
        <v>19363.05732484076</v>
      </c>
      <c r="U26" s="21">
        <f t="shared" si="5"/>
        <v>77452.22929936304</v>
      </c>
      <c r="V26" s="24">
        <f t="shared" si="18"/>
        <v>2.972027972027972</v>
      </c>
      <c r="W26" s="24">
        <f t="shared" si="19"/>
        <v>6.905594405594406</v>
      </c>
      <c r="X26" s="24">
        <f t="shared" si="20"/>
        <v>0.08741258741258742</v>
      </c>
      <c r="Y26" s="24">
        <f t="shared" si="21"/>
        <v>3.3216783216783217</v>
      </c>
      <c r="Z26" s="24">
        <f t="shared" si="22"/>
        <v>13.286713286713287</v>
      </c>
      <c r="AA26" s="24">
        <f t="shared" si="23"/>
        <v>5.628208208539272</v>
      </c>
      <c r="AB26" s="24">
        <f t="shared" si="24"/>
        <v>13.077307308076545</v>
      </c>
      <c r="AC26" s="24">
        <f t="shared" si="25"/>
        <v>0.16553553554527273</v>
      </c>
      <c r="AD26" s="24">
        <f t="shared" si="26"/>
        <v>6.290350350720363</v>
      </c>
      <c r="AE26" s="24">
        <f t="shared" si="27"/>
        <v>25.161401402881456</v>
      </c>
      <c r="AF26" s="34"/>
      <c r="AG26" s="34"/>
      <c r="AH26" s="35"/>
      <c r="AI26" s="35"/>
      <c r="AJ26" s="35"/>
      <c r="AK26" s="35"/>
    </row>
    <row r="27" spans="1:37" s="3" customFormat="1" ht="12.75">
      <c r="A27" s="3">
        <v>5</v>
      </c>
      <c r="B27" s="3" t="s">
        <v>9</v>
      </c>
      <c r="C27" s="3">
        <v>1</v>
      </c>
      <c r="D27" s="3">
        <v>29</v>
      </c>
      <c r="E27" s="3">
        <v>57</v>
      </c>
      <c r="F27" s="3">
        <v>1</v>
      </c>
      <c r="G27" s="3">
        <v>7</v>
      </c>
      <c r="H27" s="4" t="s">
        <v>37</v>
      </c>
      <c r="I27" s="3">
        <v>0</v>
      </c>
      <c r="J27" s="9">
        <v>10.873</v>
      </c>
      <c r="K27" s="9">
        <v>12.026</v>
      </c>
      <c r="L27" s="9">
        <v>11.0218</v>
      </c>
      <c r="M27" s="10">
        <f t="shared" si="0"/>
        <v>87.09453599306146</v>
      </c>
      <c r="N27" s="10">
        <f>AVERAGE(M27:M28)</f>
        <v>84.39920925583473</v>
      </c>
      <c r="O27" s="3">
        <v>10.17</v>
      </c>
      <c r="P27" s="3">
        <f t="shared" si="7"/>
        <v>9.07</v>
      </c>
      <c r="Q27" s="21">
        <f t="shared" si="1"/>
        <v>14777.070063694266</v>
      </c>
      <c r="R27" s="21">
        <f t="shared" si="2"/>
        <v>29044.585987261144</v>
      </c>
      <c r="S27" s="21">
        <f t="shared" si="3"/>
        <v>509.55414012738845</v>
      </c>
      <c r="T27" s="21">
        <f t="shared" si="4"/>
        <v>3566.878980891719</v>
      </c>
      <c r="U27" s="21">
        <f t="shared" si="5"/>
        <v>47898.08917197452</v>
      </c>
      <c r="V27" s="24">
        <f t="shared" si="18"/>
        <v>3.197353914002205</v>
      </c>
      <c r="W27" s="24">
        <f t="shared" si="19"/>
        <v>6.284454244762955</v>
      </c>
      <c r="X27" s="24">
        <f t="shared" si="20"/>
        <v>0.11025358324145534</v>
      </c>
      <c r="Y27" s="24">
        <f t="shared" si="21"/>
        <v>0.7717750826901874</v>
      </c>
      <c r="Z27" s="24">
        <f t="shared" si="22"/>
        <v>10.363836824696802</v>
      </c>
      <c r="AA27" s="24">
        <f t="shared" si="23"/>
        <v>3.6711303155193664</v>
      </c>
      <c r="AB27" s="24">
        <f t="shared" si="24"/>
        <v>7.215669930503583</v>
      </c>
      <c r="AC27" s="24">
        <f t="shared" si="25"/>
        <v>0.12659070053515056</v>
      </c>
      <c r="AD27" s="24">
        <f t="shared" si="26"/>
        <v>0.886134903746054</v>
      </c>
      <c r="AE27" s="24">
        <f t="shared" si="27"/>
        <v>11.899525850304153</v>
      </c>
      <c r="AF27" s="34">
        <f>AVERAGE(U27:U29)</f>
        <v>95796.17834394902</v>
      </c>
      <c r="AG27" s="34">
        <f>STDEV(U27:U29)/SQRT(3)</f>
        <v>25140.873193720407</v>
      </c>
      <c r="AH27" s="35">
        <f>AVERAGE(Z27:Z29)</f>
        <v>24.22539196724726</v>
      </c>
      <c r="AI27" s="35">
        <f>STDEV(Z27:Z29)/SQRT(3)</f>
        <v>8.455513707142225</v>
      </c>
      <c r="AJ27" s="35">
        <f>AVERAGE(AE27:AE29)</f>
        <v>26.76025528712221</v>
      </c>
      <c r="AK27" s="35">
        <f>STDEV(AE27:AE29)/SQRT(3)</f>
        <v>8.279350129514716</v>
      </c>
    </row>
    <row r="28" spans="1:37" ht="12.75">
      <c r="A28" s="1">
        <v>5</v>
      </c>
      <c r="B28" s="1" t="s">
        <v>9</v>
      </c>
      <c r="C28" s="1">
        <v>2</v>
      </c>
      <c r="D28" s="1" t="s">
        <v>331</v>
      </c>
      <c r="E28" s="1" t="s">
        <v>331</v>
      </c>
      <c r="F28" s="1" t="s">
        <v>331</v>
      </c>
      <c r="G28" s="1" t="s">
        <v>331</v>
      </c>
      <c r="H28" s="2" t="s">
        <v>329</v>
      </c>
      <c r="I28" s="38">
        <v>209</v>
      </c>
      <c r="J28" s="9">
        <v>8.8084</v>
      </c>
      <c r="K28" s="9">
        <v>9.8026</v>
      </c>
      <c r="L28" s="9">
        <v>8.9903</v>
      </c>
      <c r="M28" s="10">
        <f t="shared" si="0"/>
        <v>81.70388251860803</v>
      </c>
      <c r="N28" s="10"/>
      <c r="O28" s="1">
        <v>10.28</v>
      </c>
      <c r="P28" s="3">
        <f t="shared" si="7"/>
        <v>9.18</v>
      </c>
      <c r="Q28" s="21" t="s">
        <v>335</v>
      </c>
      <c r="R28" s="21" t="s">
        <v>335</v>
      </c>
      <c r="S28" s="21" t="s">
        <v>335</v>
      </c>
      <c r="T28" s="21" t="s">
        <v>335</v>
      </c>
      <c r="U28" s="39">
        <f>I28/((0.025*0.025)*3.14)</f>
        <v>106496.81528662419</v>
      </c>
      <c r="V28" s="21" t="s">
        <v>335</v>
      </c>
      <c r="W28" s="21" t="s">
        <v>335</v>
      </c>
      <c r="X28" s="21" t="s">
        <v>335</v>
      </c>
      <c r="Y28" s="21" t="s">
        <v>335</v>
      </c>
      <c r="Z28" s="40">
        <f>I28/$P28</f>
        <v>22.766884531590414</v>
      </c>
      <c r="AA28" s="21" t="s">
        <v>335</v>
      </c>
      <c r="AB28" s="21" t="s">
        <v>335</v>
      </c>
      <c r="AC28" s="21" t="s">
        <v>335</v>
      </c>
      <c r="AD28" s="21" t="s">
        <v>335</v>
      </c>
      <c r="AE28" s="40">
        <f>I28/($P28*($M28/100))</f>
        <v>27.86511953872604</v>
      </c>
      <c r="AF28" s="34"/>
      <c r="AG28" s="34"/>
      <c r="AH28" s="35"/>
      <c r="AI28" s="35"/>
      <c r="AJ28" s="35"/>
      <c r="AK28" s="35"/>
    </row>
    <row r="29" spans="1:37" s="46" customFormat="1" ht="12.75">
      <c r="A29" s="41">
        <v>5</v>
      </c>
      <c r="B29" s="41" t="s">
        <v>9</v>
      </c>
      <c r="C29" s="41">
        <v>3</v>
      </c>
      <c r="D29" s="41">
        <v>117</v>
      </c>
      <c r="E29" s="41">
        <v>58</v>
      </c>
      <c r="F29" s="41">
        <v>25</v>
      </c>
      <c r="G29" s="41">
        <v>61</v>
      </c>
      <c r="H29" s="42" t="s">
        <v>332</v>
      </c>
      <c r="I29" s="41">
        <v>9</v>
      </c>
      <c r="J29" s="43">
        <v>6.9316</v>
      </c>
      <c r="K29" s="43">
        <v>7.7038</v>
      </c>
      <c r="L29" s="43">
        <v>6.9501</v>
      </c>
      <c r="M29" s="44">
        <f t="shared" si="0"/>
        <v>97.60424760424767</v>
      </c>
      <c r="N29" s="44"/>
      <c r="O29" s="46">
        <v>7.7</v>
      </c>
      <c r="P29" s="47">
        <f t="shared" si="7"/>
        <v>6.6</v>
      </c>
      <c r="Q29" s="48">
        <f t="shared" si="1"/>
        <v>59617.83439490445</v>
      </c>
      <c r="R29" s="48">
        <f t="shared" si="2"/>
        <v>29554.14012738853</v>
      </c>
      <c r="S29" s="48">
        <f t="shared" si="3"/>
        <v>12738.853503184711</v>
      </c>
      <c r="T29" s="48">
        <f t="shared" si="4"/>
        <v>31082.802547770698</v>
      </c>
      <c r="U29" s="48">
        <f t="shared" si="5"/>
        <v>132993.63057324837</v>
      </c>
      <c r="V29" s="49">
        <f>D29/$P29</f>
        <v>17.727272727272727</v>
      </c>
      <c r="W29" s="49">
        <f>E29/$P29</f>
        <v>8.787878787878789</v>
      </c>
      <c r="X29" s="49">
        <f>F29/$P29</f>
        <v>3.787878787878788</v>
      </c>
      <c r="Y29" s="49">
        <f>G29/$P29</f>
        <v>9.242424242424242</v>
      </c>
      <c r="Z29" s="49">
        <f>SUM(V29:Y29)</f>
        <v>39.54545454545455</v>
      </c>
      <c r="AA29" s="45">
        <f>D29/($P29*($M29/100))</f>
        <v>18.162398832426682</v>
      </c>
      <c r="AB29" s="45">
        <f>E29/($P29*($M29/100))</f>
        <v>9.003582327185876</v>
      </c>
      <c r="AC29" s="45">
        <f>F29/($P29*($M29/100))</f>
        <v>3.8808544513732226</v>
      </c>
      <c r="AD29" s="45">
        <f>G29/($P29*($M29/100))</f>
        <v>9.469284861350664</v>
      </c>
      <c r="AE29" s="45">
        <f>SUM(AA29:AD29)</f>
        <v>40.516120472336446</v>
      </c>
      <c r="AF29" s="50"/>
      <c r="AG29" s="50"/>
      <c r="AH29" s="51"/>
      <c r="AI29" s="51"/>
      <c r="AJ29" s="51"/>
      <c r="AK29" s="51"/>
    </row>
    <row r="30" spans="1:37" s="3" customFormat="1" ht="12.75">
      <c r="A30" s="3">
        <v>5</v>
      </c>
      <c r="B30" s="3" t="s">
        <v>11</v>
      </c>
      <c r="C30" s="3">
        <v>1</v>
      </c>
      <c r="D30" s="3" t="s">
        <v>331</v>
      </c>
      <c r="E30" s="3" t="s">
        <v>331</v>
      </c>
      <c r="F30" s="3" t="s">
        <v>331</v>
      </c>
      <c r="G30" s="3" t="s">
        <v>331</v>
      </c>
      <c r="H30" s="37" t="s">
        <v>330</v>
      </c>
      <c r="I30" s="3" t="s">
        <v>331</v>
      </c>
      <c r="J30" s="9">
        <v>6.6355</v>
      </c>
      <c r="K30" s="9">
        <v>8.0443</v>
      </c>
      <c r="L30" s="9">
        <v>7.4661</v>
      </c>
      <c r="M30" s="10">
        <f t="shared" si="0"/>
        <v>41.0420215786485</v>
      </c>
      <c r="N30" s="10">
        <f>AVERAGE(M30:M32)</f>
        <v>37.70115343881505</v>
      </c>
      <c r="O30" s="3">
        <v>15.67</v>
      </c>
      <c r="P30" s="3">
        <f t="shared" si="7"/>
        <v>14.57</v>
      </c>
      <c r="Q30" s="36" t="s">
        <v>335</v>
      </c>
      <c r="R30" s="36" t="s">
        <v>335</v>
      </c>
      <c r="S30" s="36" t="s">
        <v>335</v>
      </c>
      <c r="T30" s="36" t="s">
        <v>335</v>
      </c>
      <c r="U30" s="36" t="s">
        <v>335</v>
      </c>
      <c r="V30" s="36" t="s">
        <v>335</v>
      </c>
      <c r="W30" s="36" t="s">
        <v>335</v>
      </c>
      <c r="X30" s="36" t="s">
        <v>335</v>
      </c>
      <c r="Y30" s="36" t="s">
        <v>335</v>
      </c>
      <c r="Z30" s="36" t="s">
        <v>335</v>
      </c>
      <c r="AA30" s="36" t="s">
        <v>335</v>
      </c>
      <c r="AB30" s="36" t="s">
        <v>335</v>
      </c>
      <c r="AC30" s="36" t="s">
        <v>335</v>
      </c>
      <c r="AD30" s="36" t="s">
        <v>335</v>
      </c>
      <c r="AE30" s="36" t="s">
        <v>335</v>
      </c>
      <c r="AF30" s="34">
        <f>AVERAGE(U30:U32)</f>
        <v>33885.35031847133</v>
      </c>
      <c r="AG30" s="34">
        <f>STDEV(U30:U32)/SQRT(3)</f>
        <v>7696.910444414215</v>
      </c>
      <c r="AH30" s="35">
        <f>AVERAGE(Z30:Z32)</f>
        <v>3.400527266099841</v>
      </c>
      <c r="AI30" s="35">
        <f>STDEV(Z30:Z32)/SQRT(3)</f>
        <v>0.15261683021062616</v>
      </c>
      <c r="AJ30" s="35">
        <f>AVERAGE(AE30:AE32)</f>
        <v>10.196738160741255</v>
      </c>
      <c r="AK30" s="35">
        <f>STDEV(AE30:AE32)/SQRT(3)</f>
        <v>2.06935405124355</v>
      </c>
    </row>
    <row r="31" spans="1:32" ht="12.75">
      <c r="A31" s="1">
        <v>5</v>
      </c>
      <c r="B31" s="1" t="s">
        <v>11</v>
      </c>
      <c r="C31" s="1">
        <v>2</v>
      </c>
      <c r="D31" s="1">
        <v>6</v>
      </c>
      <c r="E31" s="1">
        <v>27</v>
      </c>
      <c r="F31" s="1">
        <v>3</v>
      </c>
      <c r="G31" s="1">
        <v>49</v>
      </c>
      <c r="H31" s="2" t="s">
        <v>333</v>
      </c>
      <c r="I31" s="1">
        <v>3</v>
      </c>
      <c r="J31" s="9">
        <v>8.4628</v>
      </c>
      <c r="K31" s="9">
        <v>9.9603</v>
      </c>
      <c r="L31" s="9">
        <v>9.5823</v>
      </c>
      <c r="M31" s="10">
        <f t="shared" si="0"/>
        <v>25.242070116861434</v>
      </c>
      <c r="N31" s="10"/>
      <c r="O31" s="1">
        <v>27.55</v>
      </c>
      <c r="P31" s="3">
        <f t="shared" si="7"/>
        <v>26.45</v>
      </c>
      <c r="Q31" s="21">
        <f t="shared" si="1"/>
        <v>3057.324840764331</v>
      </c>
      <c r="R31" s="21">
        <f t="shared" si="2"/>
        <v>13757.961783439488</v>
      </c>
      <c r="S31" s="21">
        <f t="shared" si="3"/>
        <v>1528.6624203821655</v>
      </c>
      <c r="T31" s="21">
        <f t="shared" si="4"/>
        <v>24968.152866242035</v>
      </c>
      <c r="U31" s="21">
        <f t="shared" si="5"/>
        <v>43312.101910828016</v>
      </c>
      <c r="V31" s="24">
        <f aca="true" t="shared" si="28" ref="V31:Y32">D31/$P31</f>
        <v>0.22684310018903592</v>
      </c>
      <c r="W31" s="24">
        <f t="shared" si="28"/>
        <v>1.0207939508506616</v>
      </c>
      <c r="X31" s="24">
        <f t="shared" si="28"/>
        <v>0.11342155009451796</v>
      </c>
      <c r="Y31" s="24">
        <f t="shared" si="28"/>
        <v>1.8525519848771268</v>
      </c>
      <c r="Z31" s="24">
        <f>SUM(V31:Y31)</f>
        <v>3.213610586011342</v>
      </c>
      <c r="AA31" s="24">
        <f aca="true" t="shared" si="29" ref="AA31:AD32">D31/($P31*($M31/100))</f>
        <v>0.8986707474420139</v>
      </c>
      <c r="AB31" s="24">
        <f t="shared" si="29"/>
        <v>4.044018363489063</v>
      </c>
      <c r="AC31" s="24">
        <f t="shared" si="29"/>
        <v>0.44933537372100696</v>
      </c>
      <c r="AD31" s="24">
        <f t="shared" si="29"/>
        <v>7.339144437443114</v>
      </c>
      <c r="AE31" s="24">
        <f>SUM(AA31:AD31)</f>
        <v>12.731168922095197</v>
      </c>
      <c r="AF31" s="34"/>
    </row>
    <row r="32" spans="1:32" ht="12.75">
      <c r="A32" s="1">
        <v>5</v>
      </c>
      <c r="B32" s="1" t="s">
        <v>11</v>
      </c>
      <c r="C32" s="1">
        <v>3</v>
      </c>
      <c r="D32" s="1">
        <v>24</v>
      </c>
      <c r="E32" s="1">
        <v>11</v>
      </c>
      <c r="F32" s="1">
        <v>2</v>
      </c>
      <c r="G32" s="1">
        <v>11</v>
      </c>
      <c r="H32" s="2" t="s">
        <v>334</v>
      </c>
      <c r="I32" s="1">
        <v>6</v>
      </c>
      <c r="J32" s="9">
        <v>7.985</v>
      </c>
      <c r="K32" s="9">
        <v>9.6702</v>
      </c>
      <c r="L32" s="9">
        <v>8.8812</v>
      </c>
      <c r="M32" s="10">
        <f t="shared" si="0"/>
        <v>46.81936862093521</v>
      </c>
      <c r="N32" s="10"/>
      <c r="O32" s="1">
        <v>14.48</v>
      </c>
      <c r="P32" s="3">
        <f t="shared" si="7"/>
        <v>13.38</v>
      </c>
      <c r="Q32" s="21">
        <f t="shared" si="1"/>
        <v>12229.299363057324</v>
      </c>
      <c r="R32" s="21">
        <f t="shared" si="2"/>
        <v>5605.095541401273</v>
      </c>
      <c r="S32" s="21">
        <f t="shared" si="3"/>
        <v>1019.1082802547769</v>
      </c>
      <c r="T32" s="21">
        <f t="shared" si="4"/>
        <v>5605.095541401273</v>
      </c>
      <c r="U32" s="21">
        <f t="shared" si="5"/>
        <v>24458.598726114644</v>
      </c>
      <c r="V32" s="24">
        <f t="shared" si="28"/>
        <v>1.7937219730941703</v>
      </c>
      <c r="W32" s="24">
        <f t="shared" si="28"/>
        <v>0.8221225710014948</v>
      </c>
      <c r="X32" s="24">
        <f t="shared" si="28"/>
        <v>0.14947683109118085</v>
      </c>
      <c r="Y32" s="24">
        <f t="shared" si="28"/>
        <v>0.8221225710014948</v>
      </c>
      <c r="Z32" s="24">
        <f>SUM(V32:Y32)</f>
        <v>3.5874439461883405</v>
      </c>
      <c r="AA32" s="24">
        <f t="shared" si="29"/>
        <v>3.831153699693657</v>
      </c>
      <c r="AB32" s="24">
        <f t="shared" si="29"/>
        <v>1.755945445692926</v>
      </c>
      <c r="AC32" s="24">
        <f t="shared" si="29"/>
        <v>0.31926280830780474</v>
      </c>
      <c r="AD32" s="24">
        <f t="shared" si="29"/>
        <v>1.755945445692926</v>
      </c>
      <c r="AE32" s="24">
        <f>SUM(AA32:AD32)</f>
        <v>7.662307399387314</v>
      </c>
      <c r="AF32" s="34"/>
    </row>
    <row r="34" ht="12.75">
      <c r="B34" s="27"/>
    </row>
    <row r="35" spans="1:13" ht="12.75">
      <c r="A35" s="27" t="s">
        <v>337</v>
      </c>
      <c r="M35" s="11">
        <f>AVERAGE(M3:M8)</f>
        <v>45.108910345369594</v>
      </c>
    </row>
    <row r="36" spans="1:13" ht="12.75">
      <c r="A36" s="58"/>
      <c r="B36" s="61" t="s">
        <v>338</v>
      </c>
      <c r="M36" s="11">
        <f>AVERAGE(M9:M14)</f>
        <v>36.24266877262294</v>
      </c>
    </row>
    <row r="37" spans="1:13" ht="12.75">
      <c r="A37" s="59"/>
      <c r="B37" s="61" t="s">
        <v>339</v>
      </c>
      <c r="M37" s="11">
        <f>AVERAGE(M15:M20)</f>
        <v>37.385605590032576</v>
      </c>
    </row>
    <row r="38" spans="1:13" ht="12.75">
      <c r="A38" s="60"/>
      <c r="B38" s="61" t="s">
        <v>340</v>
      </c>
      <c r="M38" s="11">
        <f>AVERAGE(M21:M26)</f>
        <v>50.11572575386676</v>
      </c>
    </row>
    <row r="39" ht="12.75">
      <c r="M39" s="11">
        <f>AVERAGE(M27:M32)</f>
        <v>63.25102107206039</v>
      </c>
    </row>
    <row r="54" spans="1:3" ht="12.75">
      <c r="A54" s="3">
        <v>1</v>
      </c>
      <c r="B54" s="3" t="s">
        <v>9</v>
      </c>
      <c r="C54" s="3">
        <v>1</v>
      </c>
    </row>
    <row r="55" spans="1:3" ht="12.75">
      <c r="A55" s="1">
        <v>1</v>
      </c>
      <c r="B55" s="1" t="s">
        <v>9</v>
      </c>
      <c r="C55" s="1">
        <v>2</v>
      </c>
    </row>
    <row r="56" spans="1:3" ht="12.75">
      <c r="A56" s="1">
        <v>1</v>
      </c>
      <c r="B56" s="1" t="s">
        <v>9</v>
      </c>
      <c r="C56" s="1">
        <v>3</v>
      </c>
    </row>
    <row r="57" spans="1:3" ht="12.75">
      <c r="A57" s="3">
        <v>1</v>
      </c>
      <c r="B57" s="3" t="s">
        <v>11</v>
      </c>
      <c r="C57" s="3">
        <v>1</v>
      </c>
    </row>
    <row r="58" spans="1:3" ht="12.75">
      <c r="A58" s="1">
        <v>1</v>
      </c>
      <c r="B58" s="1" t="s">
        <v>11</v>
      </c>
      <c r="C58" s="1">
        <v>2</v>
      </c>
    </row>
    <row r="59" spans="1:3" ht="12.75">
      <c r="A59" s="1">
        <v>1</v>
      </c>
      <c r="B59" s="1" t="s">
        <v>11</v>
      </c>
      <c r="C59" s="1">
        <v>3</v>
      </c>
    </row>
    <row r="60" spans="1:3" ht="12.75">
      <c r="A60" s="3">
        <v>2</v>
      </c>
      <c r="B60" s="3" t="s">
        <v>9</v>
      </c>
      <c r="C60" s="3">
        <v>1</v>
      </c>
    </row>
    <row r="61" spans="1:3" ht="12.75">
      <c r="A61" s="1">
        <v>2</v>
      </c>
      <c r="B61" s="1" t="s">
        <v>9</v>
      </c>
      <c r="C61" s="1">
        <v>2</v>
      </c>
    </row>
    <row r="62" spans="1:3" ht="12.75">
      <c r="A62" s="1">
        <v>2</v>
      </c>
      <c r="B62" s="1" t="s">
        <v>9</v>
      </c>
      <c r="C62" s="1">
        <v>3</v>
      </c>
    </row>
    <row r="63" spans="1:3" ht="12.75">
      <c r="A63" s="3">
        <v>2</v>
      </c>
      <c r="B63" s="3" t="s">
        <v>11</v>
      </c>
      <c r="C63" s="3">
        <v>1</v>
      </c>
    </row>
    <row r="64" spans="1:3" ht="12.75">
      <c r="A64" s="1">
        <v>2</v>
      </c>
      <c r="B64" s="1" t="s">
        <v>11</v>
      </c>
      <c r="C64" s="1">
        <v>2</v>
      </c>
    </row>
    <row r="65" spans="1:3" ht="12.75">
      <c r="A65" s="1">
        <v>2</v>
      </c>
      <c r="B65" s="1" t="s">
        <v>11</v>
      </c>
      <c r="C65" s="1">
        <v>3</v>
      </c>
    </row>
    <row r="66" spans="1:3" ht="12.75">
      <c r="A66" s="3">
        <v>3</v>
      </c>
      <c r="B66" s="3" t="s">
        <v>9</v>
      </c>
      <c r="C66" s="3">
        <v>1</v>
      </c>
    </row>
    <row r="67" spans="1:3" ht="12.75">
      <c r="A67" s="1">
        <v>3</v>
      </c>
      <c r="B67" s="1" t="s">
        <v>9</v>
      </c>
      <c r="C67" s="1">
        <v>2</v>
      </c>
    </row>
    <row r="68" spans="1:3" ht="12.75">
      <c r="A68" s="1">
        <v>3</v>
      </c>
      <c r="B68" s="1" t="s">
        <v>9</v>
      </c>
      <c r="C68" s="1">
        <v>3</v>
      </c>
    </row>
    <row r="69" spans="1:3" ht="12.75">
      <c r="A69" s="3">
        <v>3</v>
      </c>
      <c r="B69" s="3" t="s">
        <v>11</v>
      </c>
      <c r="C69" s="3">
        <v>1</v>
      </c>
    </row>
    <row r="70" spans="1:3" ht="12.75">
      <c r="A70" s="1">
        <v>3</v>
      </c>
      <c r="B70" s="1" t="s">
        <v>11</v>
      </c>
      <c r="C70" s="1">
        <v>2</v>
      </c>
    </row>
    <row r="71" spans="1:3" ht="12.75">
      <c r="A71" s="1">
        <v>3</v>
      </c>
      <c r="B71" s="1" t="s">
        <v>11</v>
      </c>
      <c r="C71" s="1">
        <v>3</v>
      </c>
    </row>
    <row r="72" spans="1:3" ht="12.75">
      <c r="A72" s="3">
        <v>4</v>
      </c>
      <c r="B72" s="3" t="s">
        <v>9</v>
      </c>
      <c r="C72" s="3">
        <v>1</v>
      </c>
    </row>
    <row r="73" spans="1:3" ht="12.75">
      <c r="A73" s="1">
        <v>4</v>
      </c>
      <c r="B73" s="1" t="s">
        <v>9</v>
      </c>
      <c r="C73" s="1">
        <v>2</v>
      </c>
    </row>
    <row r="74" spans="1:3" ht="12.75">
      <c r="A74" s="1">
        <v>4</v>
      </c>
      <c r="B74" s="1" t="s">
        <v>9</v>
      </c>
      <c r="C74" s="1">
        <v>3</v>
      </c>
    </row>
    <row r="75" spans="1:3" ht="12.75">
      <c r="A75" s="3">
        <v>4</v>
      </c>
      <c r="B75" s="3" t="s">
        <v>11</v>
      </c>
      <c r="C75" s="3">
        <v>1</v>
      </c>
    </row>
    <row r="76" spans="1:3" ht="12.75">
      <c r="A76" s="1">
        <v>4</v>
      </c>
      <c r="B76" s="1" t="s">
        <v>11</v>
      </c>
      <c r="C76" s="1">
        <v>2</v>
      </c>
    </row>
    <row r="77" spans="1:3" ht="12.75">
      <c r="A77" s="1">
        <v>4</v>
      </c>
      <c r="B77" s="1" t="s">
        <v>11</v>
      </c>
      <c r="C77" s="1">
        <v>3</v>
      </c>
    </row>
    <row r="78" spans="1:3" ht="12.75">
      <c r="A78" s="3">
        <v>5</v>
      </c>
      <c r="B78" s="3" t="s">
        <v>9</v>
      </c>
      <c r="C78" s="3">
        <v>1</v>
      </c>
    </row>
    <row r="79" spans="1:3" ht="12.75">
      <c r="A79" s="1">
        <v>5</v>
      </c>
      <c r="B79" s="1" t="s">
        <v>9</v>
      </c>
      <c r="C79" s="1">
        <v>2</v>
      </c>
    </row>
    <row r="80" spans="1:3" ht="12.75">
      <c r="A80" s="1">
        <v>5</v>
      </c>
      <c r="B80" s="1" t="s">
        <v>9</v>
      </c>
      <c r="C80" s="1">
        <v>3</v>
      </c>
    </row>
    <row r="81" spans="1:3" ht="12.75">
      <c r="A81" s="3">
        <v>5</v>
      </c>
      <c r="B81" s="3" t="s">
        <v>11</v>
      </c>
      <c r="C81" s="3">
        <v>1</v>
      </c>
    </row>
    <row r="82" spans="1:3" ht="12.75">
      <c r="A82" s="1">
        <v>5</v>
      </c>
      <c r="B82" s="1" t="s">
        <v>11</v>
      </c>
      <c r="C82" s="1">
        <v>2</v>
      </c>
    </row>
    <row r="83" spans="1:3" ht="12.75">
      <c r="A83" s="1">
        <v>5</v>
      </c>
      <c r="B83" s="1" t="s">
        <v>11</v>
      </c>
      <c r="C83" s="1">
        <v>3</v>
      </c>
    </row>
  </sheetData>
  <mergeCells count="5">
    <mergeCell ref="K1:K2"/>
    <mergeCell ref="L1:L2"/>
    <mergeCell ref="M1:M2"/>
    <mergeCell ref="A1:H1"/>
    <mergeCell ref="J1:J2"/>
  </mergeCells>
  <printOptions/>
  <pageMargins left="0.75" right="0.75" top="1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5"/>
  <sheetViews>
    <sheetView workbookViewId="0" topLeftCell="A100">
      <selection activeCell="D126" sqref="D126"/>
    </sheetView>
  </sheetViews>
  <sheetFormatPr defaultColWidth="9.140625" defaultRowHeight="12.75"/>
  <cols>
    <col min="3" max="3" width="11.7109375" style="0" customWidth="1"/>
    <col min="4" max="4" width="14.28125" style="0" customWidth="1"/>
    <col min="5" max="5" width="13.421875" style="0" customWidth="1"/>
    <col min="6" max="6" width="14.57421875" style="0" customWidth="1"/>
  </cols>
  <sheetData>
    <row r="1" spans="1:6" ht="12.75">
      <c r="A1" s="15" t="s">
        <v>197</v>
      </c>
      <c r="B1" s="15" t="s">
        <v>198</v>
      </c>
      <c r="C1" s="16" t="s">
        <v>199</v>
      </c>
      <c r="D1" s="16" t="s">
        <v>200</v>
      </c>
      <c r="E1" s="16" t="s">
        <v>201</v>
      </c>
      <c r="F1" s="16" t="s">
        <v>202</v>
      </c>
    </row>
    <row r="2" spans="1:6" ht="15.75">
      <c r="A2" s="17">
        <v>36675</v>
      </c>
      <c r="B2" s="15" t="s">
        <v>203</v>
      </c>
      <c r="C2">
        <v>71</v>
      </c>
      <c r="D2" s="16">
        <v>7.8123</v>
      </c>
      <c r="E2" s="16">
        <v>9.3235</v>
      </c>
      <c r="F2" s="16">
        <v>8.3737</v>
      </c>
    </row>
    <row r="3" spans="1:6" ht="15.75">
      <c r="A3" s="17">
        <v>36675</v>
      </c>
      <c r="B3" s="15" t="s">
        <v>204</v>
      </c>
      <c r="C3">
        <v>114</v>
      </c>
      <c r="D3" s="16">
        <v>8.5077</v>
      </c>
      <c r="E3" s="16">
        <v>9.8722</v>
      </c>
      <c r="F3" s="16">
        <v>8.9385</v>
      </c>
    </row>
    <row r="4" spans="1:6" ht="15.75">
      <c r="A4" s="17">
        <v>36675</v>
      </c>
      <c r="B4" s="15" t="s">
        <v>205</v>
      </c>
      <c r="C4">
        <v>120</v>
      </c>
      <c r="D4" s="16">
        <v>8.0762</v>
      </c>
      <c r="E4" s="16">
        <v>9.8082</v>
      </c>
      <c r="F4" s="16">
        <v>8.9489</v>
      </c>
    </row>
    <row r="5" spans="1:6" ht="15.75">
      <c r="A5" s="17">
        <v>36675</v>
      </c>
      <c r="B5" s="15" t="s">
        <v>206</v>
      </c>
      <c r="C5">
        <v>11</v>
      </c>
      <c r="D5" s="16">
        <v>8.4281</v>
      </c>
      <c r="E5" s="16">
        <v>10.442</v>
      </c>
      <c r="F5" s="16">
        <v>9.7365</v>
      </c>
    </row>
    <row r="6" spans="1:6" ht="15.75">
      <c r="A6" s="17">
        <v>36675</v>
      </c>
      <c r="B6" s="15" t="s">
        <v>207</v>
      </c>
      <c r="C6">
        <v>0</v>
      </c>
      <c r="D6" s="16">
        <v>8.3351</v>
      </c>
      <c r="E6" s="16">
        <v>9.3817</v>
      </c>
      <c r="F6" s="16">
        <v>8.6122</v>
      </c>
    </row>
    <row r="7" spans="1:6" ht="15.75">
      <c r="A7" s="17">
        <v>36675</v>
      </c>
      <c r="B7" s="15" t="s">
        <v>208</v>
      </c>
      <c r="C7">
        <v>26</v>
      </c>
      <c r="D7" s="16">
        <v>7.9267</v>
      </c>
      <c r="E7" s="16">
        <v>9.6643</v>
      </c>
      <c r="F7" s="16">
        <v>8.9086</v>
      </c>
    </row>
    <row r="8" spans="1:6" ht="15.75">
      <c r="A8" s="17">
        <v>36675</v>
      </c>
      <c r="B8" s="15" t="s">
        <v>209</v>
      </c>
      <c r="C8">
        <v>2</v>
      </c>
      <c r="D8" s="16">
        <v>7.9042</v>
      </c>
      <c r="E8" s="16">
        <v>9.3788</v>
      </c>
      <c r="F8" s="16">
        <v>8.497</v>
      </c>
    </row>
    <row r="9" spans="1:6" ht="15.75">
      <c r="A9" s="17">
        <v>36675</v>
      </c>
      <c r="B9" s="15" t="s">
        <v>210</v>
      </c>
      <c r="C9">
        <v>10</v>
      </c>
      <c r="D9" s="16">
        <v>7.745</v>
      </c>
      <c r="E9" s="16">
        <v>8.9445</v>
      </c>
      <c r="F9" s="16">
        <v>8.0756</v>
      </c>
    </row>
    <row r="10" spans="1:6" ht="15.75">
      <c r="A10" s="17">
        <v>36675</v>
      </c>
      <c r="B10" s="15" t="s">
        <v>211</v>
      </c>
      <c r="C10">
        <v>19</v>
      </c>
      <c r="D10" s="16">
        <v>7.5988</v>
      </c>
      <c r="E10" s="16">
        <v>8.9457</v>
      </c>
      <c r="F10" s="16">
        <v>8.1013</v>
      </c>
    </row>
    <row r="11" spans="1:6" ht="15.75">
      <c r="A11" s="17">
        <v>36675</v>
      </c>
      <c r="B11" s="15" t="s">
        <v>212</v>
      </c>
      <c r="C11">
        <v>104</v>
      </c>
      <c r="D11" s="16">
        <v>7.8186</v>
      </c>
      <c r="E11" s="16">
        <v>9.9236</v>
      </c>
      <c r="F11" s="16">
        <v>8.805</v>
      </c>
    </row>
    <row r="12" spans="1:6" ht="15.75">
      <c r="A12" s="17">
        <v>36675</v>
      </c>
      <c r="B12" s="15" t="s">
        <v>213</v>
      </c>
      <c r="C12">
        <v>62</v>
      </c>
      <c r="D12" s="16">
        <v>7.8795</v>
      </c>
      <c r="E12" s="16">
        <v>9.5041</v>
      </c>
      <c r="F12" s="16">
        <v>8.5729</v>
      </c>
    </row>
    <row r="13" spans="1:6" ht="15.75">
      <c r="A13" s="17">
        <v>36675</v>
      </c>
      <c r="B13" s="15" t="s">
        <v>214</v>
      </c>
      <c r="C13">
        <v>12</v>
      </c>
      <c r="D13" s="16">
        <v>9.2818</v>
      </c>
      <c r="E13" s="16">
        <v>10.5299</v>
      </c>
      <c r="F13" s="16">
        <v>9.643</v>
      </c>
    </row>
    <row r="14" spans="1:6" ht="15.75">
      <c r="A14" s="17">
        <v>36675</v>
      </c>
      <c r="B14" s="15" t="s">
        <v>215</v>
      </c>
      <c r="C14">
        <v>33</v>
      </c>
      <c r="D14" s="16">
        <v>7.9848</v>
      </c>
      <c r="E14" s="16">
        <v>10.7044</v>
      </c>
      <c r="F14" s="16">
        <v>9.6404</v>
      </c>
    </row>
    <row r="15" spans="1:6" ht="15.75">
      <c r="A15" s="17">
        <v>36675</v>
      </c>
      <c r="B15" s="15" t="s">
        <v>216</v>
      </c>
      <c r="C15">
        <v>16</v>
      </c>
      <c r="D15" s="16">
        <v>7.6657</v>
      </c>
      <c r="E15" s="16">
        <v>9.1041</v>
      </c>
      <c r="F15" s="16">
        <v>8.1833</v>
      </c>
    </row>
    <row r="16" spans="1:6" ht="15.75">
      <c r="A16" s="17">
        <v>36675</v>
      </c>
      <c r="B16" s="15" t="s">
        <v>217</v>
      </c>
      <c r="C16">
        <v>34</v>
      </c>
      <c r="D16" s="16">
        <v>7.3611</v>
      </c>
      <c r="E16" s="16">
        <v>8.4127</v>
      </c>
      <c r="F16" s="16">
        <v>7.6593</v>
      </c>
    </row>
    <row r="17" spans="1:6" ht="15.75">
      <c r="A17" s="17">
        <v>36675</v>
      </c>
      <c r="B17" s="15" t="s">
        <v>218</v>
      </c>
      <c r="C17">
        <v>88</v>
      </c>
      <c r="D17" s="16">
        <v>7.7785</v>
      </c>
      <c r="E17" s="16">
        <v>8.9935</v>
      </c>
      <c r="F17" s="16">
        <v>7.966</v>
      </c>
    </row>
    <row r="18" spans="1:6" ht="15.75">
      <c r="A18" s="17">
        <v>36675</v>
      </c>
      <c r="B18" s="15" t="s">
        <v>219</v>
      </c>
      <c r="C18">
        <v>351</v>
      </c>
      <c r="D18" s="16">
        <v>8.0739</v>
      </c>
      <c r="E18" s="16">
        <v>9.5993</v>
      </c>
      <c r="F18" s="16">
        <v>8.6718</v>
      </c>
    </row>
    <row r="19" spans="1:6" ht="15.75">
      <c r="A19" s="17">
        <v>36675</v>
      </c>
      <c r="B19" s="15" t="s">
        <v>220</v>
      </c>
      <c r="C19">
        <v>27</v>
      </c>
      <c r="D19" s="16">
        <v>8.2373</v>
      </c>
      <c r="E19" s="16">
        <v>10.0502</v>
      </c>
      <c r="F19" s="16">
        <v>9.2651</v>
      </c>
    </row>
    <row r="20" spans="1:6" ht="15.75">
      <c r="A20" s="17">
        <v>36675</v>
      </c>
      <c r="B20" s="15" t="s">
        <v>221</v>
      </c>
      <c r="C20">
        <v>8</v>
      </c>
      <c r="D20" s="16">
        <v>9.0965</v>
      </c>
      <c r="E20" s="16">
        <v>11.2049</v>
      </c>
      <c r="F20" s="16">
        <v>10.2328</v>
      </c>
    </row>
    <row r="21" spans="1:6" ht="15.75">
      <c r="A21" s="17">
        <v>36675</v>
      </c>
      <c r="B21" s="15" t="s">
        <v>222</v>
      </c>
      <c r="C21">
        <v>36</v>
      </c>
      <c r="D21" s="16">
        <v>8.5805</v>
      </c>
      <c r="E21" s="16">
        <v>9.9996</v>
      </c>
      <c r="F21" s="16">
        <v>9.1466</v>
      </c>
    </row>
    <row r="22" spans="1:6" ht="15.75">
      <c r="A22" s="17">
        <v>36675</v>
      </c>
      <c r="B22" s="15" t="s">
        <v>223</v>
      </c>
      <c r="C22">
        <v>8</v>
      </c>
      <c r="D22" s="16">
        <v>7.8071</v>
      </c>
      <c r="E22" s="16">
        <v>10.576</v>
      </c>
      <c r="F22" s="16">
        <v>9.7021</v>
      </c>
    </row>
    <row r="23" spans="1:6" ht="15.75">
      <c r="A23" s="17">
        <v>36675</v>
      </c>
      <c r="B23" s="15" t="s">
        <v>224</v>
      </c>
      <c r="C23">
        <v>40</v>
      </c>
      <c r="D23" s="16">
        <v>7.9186</v>
      </c>
      <c r="E23" s="16">
        <v>9.8127</v>
      </c>
      <c r="F23" s="16">
        <v>8.9615</v>
      </c>
    </row>
    <row r="24" spans="1:6" ht="15.75">
      <c r="A24" s="17">
        <v>36675</v>
      </c>
      <c r="B24" s="15" t="s">
        <v>225</v>
      </c>
      <c r="C24">
        <v>18</v>
      </c>
      <c r="D24" s="16">
        <v>8.2422</v>
      </c>
      <c r="E24" s="16">
        <v>10.3789</v>
      </c>
      <c r="F24" s="16">
        <v>9.3198</v>
      </c>
    </row>
    <row r="25" spans="1:6" ht="15.75">
      <c r="A25" s="17">
        <v>36675</v>
      </c>
      <c r="B25" s="15" t="s">
        <v>226</v>
      </c>
      <c r="C25">
        <v>1103</v>
      </c>
      <c r="D25" s="16">
        <v>8.9685</v>
      </c>
      <c r="E25" s="16">
        <v>10.5845</v>
      </c>
      <c r="F25" s="16">
        <v>9.5802</v>
      </c>
    </row>
    <row r="26" spans="1:6" ht="15.75">
      <c r="A26" s="17">
        <v>36675</v>
      </c>
      <c r="B26" s="15" t="s">
        <v>227</v>
      </c>
      <c r="C26">
        <v>182</v>
      </c>
      <c r="D26" s="16">
        <v>8.6409</v>
      </c>
      <c r="E26" s="16">
        <v>10.3339</v>
      </c>
      <c r="F26" s="16">
        <v>9.3058</v>
      </c>
    </row>
    <row r="27" spans="1:6" ht="15.75">
      <c r="A27" s="17">
        <v>36675</v>
      </c>
      <c r="B27" s="15" t="s">
        <v>228</v>
      </c>
      <c r="C27">
        <v>170</v>
      </c>
      <c r="D27" s="16">
        <v>7.3158</v>
      </c>
      <c r="E27" s="16">
        <v>9.8813</v>
      </c>
      <c r="F27" s="16">
        <v>8.8208</v>
      </c>
    </row>
    <row r="28" spans="1:6" ht="15.75">
      <c r="A28" s="17">
        <v>36675</v>
      </c>
      <c r="B28" s="15" t="s">
        <v>229</v>
      </c>
      <c r="C28">
        <v>15</v>
      </c>
      <c r="D28" s="16">
        <v>8.0066</v>
      </c>
      <c r="E28" s="16">
        <v>9.8714</v>
      </c>
      <c r="F28" s="16">
        <v>9.017</v>
      </c>
    </row>
    <row r="29" spans="1:6" ht="15.75">
      <c r="A29" s="17">
        <v>36675</v>
      </c>
      <c r="B29" s="15" t="s">
        <v>230</v>
      </c>
      <c r="C29">
        <v>2</v>
      </c>
      <c r="D29" s="16">
        <v>7.8782</v>
      </c>
      <c r="E29" s="16">
        <v>9.0002</v>
      </c>
      <c r="F29" s="16">
        <v>8.2717</v>
      </c>
    </row>
    <row r="30" spans="1:6" ht="15.75">
      <c r="A30" s="17">
        <v>36675</v>
      </c>
      <c r="B30" s="15" t="s">
        <v>231</v>
      </c>
      <c r="C30">
        <v>5</v>
      </c>
      <c r="D30" s="16">
        <v>7.7003</v>
      </c>
      <c r="E30" s="16">
        <v>9.9788</v>
      </c>
      <c r="F30" s="16">
        <v>8.9521</v>
      </c>
    </row>
    <row r="31" spans="1:6" ht="15.75">
      <c r="A31" s="17">
        <v>36675</v>
      </c>
      <c r="B31" s="15" t="s">
        <v>232</v>
      </c>
      <c r="C31">
        <v>19</v>
      </c>
      <c r="D31" s="16">
        <v>7.8331</v>
      </c>
      <c r="E31" s="16">
        <v>9.7532</v>
      </c>
      <c r="F31" s="16">
        <v>8.6386</v>
      </c>
    </row>
    <row r="32" spans="1:6" ht="15.75">
      <c r="A32" s="17">
        <v>36675</v>
      </c>
      <c r="B32" s="15" t="s">
        <v>233</v>
      </c>
      <c r="C32">
        <v>9</v>
      </c>
      <c r="D32" s="16">
        <v>7.0951</v>
      </c>
      <c r="E32" s="16">
        <v>8.8676</v>
      </c>
      <c r="F32" s="16">
        <v>7.632</v>
      </c>
    </row>
    <row r="33" spans="1:6" ht="15.75">
      <c r="A33" s="17">
        <v>36675</v>
      </c>
      <c r="B33" s="15" t="s">
        <v>234</v>
      </c>
      <c r="C33">
        <v>32</v>
      </c>
      <c r="D33" s="16">
        <v>8.0575</v>
      </c>
      <c r="E33" s="16">
        <v>9.7814</v>
      </c>
      <c r="F33" s="16">
        <v>8.9964</v>
      </c>
    </row>
    <row r="34" spans="1:6" ht="15.75">
      <c r="A34" s="17">
        <v>36675</v>
      </c>
      <c r="B34" s="15" t="s">
        <v>235</v>
      </c>
      <c r="C34">
        <v>25</v>
      </c>
      <c r="D34" s="16">
        <v>7.7305</v>
      </c>
      <c r="E34" s="16">
        <v>8.9803</v>
      </c>
      <c r="F34" s="16">
        <v>7.9151</v>
      </c>
    </row>
    <row r="35" spans="1:6" ht="15.75">
      <c r="A35" s="17">
        <v>36675</v>
      </c>
      <c r="B35" s="15" t="s">
        <v>236</v>
      </c>
      <c r="C35">
        <v>14</v>
      </c>
      <c r="D35" s="16">
        <v>8.73</v>
      </c>
      <c r="E35" s="16">
        <v>10.1733</v>
      </c>
      <c r="F35" s="16">
        <v>9.3674</v>
      </c>
    </row>
    <row r="36" spans="1:6" ht="15.75">
      <c r="A36" s="17">
        <v>36675</v>
      </c>
      <c r="B36" s="15" t="s">
        <v>237</v>
      </c>
      <c r="C36">
        <v>28</v>
      </c>
      <c r="D36" s="16">
        <v>8.5585</v>
      </c>
      <c r="E36" s="16">
        <v>11.0676</v>
      </c>
      <c r="F36" s="16">
        <v>10.3339</v>
      </c>
    </row>
    <row r="37" spans="1:6" ht="15.75">
      <c r="A37" s="17">
        <v>36675</v>
      </c>
      <c r="B37" s="15" t="s">
        <v>238</v>
      </c>
      <c r="C37">
        <v>29</v>
      </c>
      <c r="D37" s="16">
        <v>7.5224</v>
      </c>
      <c r="E37" s="16">
        <v>8.8275</v>
      </c>
      <c r="F37" s="16">
        <v>7.7606</v>
      </c>
    </row>
    <row r="38" spans="1:6" ht="15.75">
      <c r="A38" s="17">
        <v>36675</v>
      </c>
      <c r="B38" s="15" t="s">
        <v>239</v>
      </c>
      <c r="C38">
        <v>63</v>
      </c>
      <c r="D38" s="16">
        <v>9.0683</v>
      </c>
      <c r="E38" s="16">
        <v>9.9936</v>
      </c>
      <c r="F38" s="16">
        <v>9.1625</v>
      </c>
    </row>
    <row r="39" spans="1:6" ht="15.75">
      <c r="A39" s="17">
        <v>36675</v>
      </c>
      <c r="B39" s="15" t="s">
        <v>240</v>
      </c>
      <c r="C39">
        <v>21</v>
      </c>
      <c r="D39" s="16">
        <v>7.5651</v>
      </c>
      <c r="E39" s="16">
        <v>8.806</v>
      </c>
      <c r="F39" s="16">
        <v>7.8209</v>
      </c>
    </row>
    <row r="40" spans="1:6" ht="15.75">
      <c r="A40" s="17">
        <v>36675</v>
      </c>
      <c r="B40" s="15" t="s">
        <v>241</v>
      </c>
      <c r="C40">
        <v>13</v>
      </c>
      <c r="D40" s="16">
        <v>8.7206</v>
      </c>
      <c r="E40" s="16">
        <v>9.9926</v>
      </c>
      <c r="F40" s="16">
        <v>8.8935</v>
      </c>
    </row>
    <row r="41" spans="1:6" ht="15.75">
      <c r="A41" s="17">
        <v>36675</v>
      </c>
      <c r="B41" s="15" t="s">
        <v>242</v>
      </c>
      <c r="C41">
        <v>196</v>
      </c>
      <c r="D41" s="16">
        <v>7.6328</v>
      </c>
      <c r="E41" s="16">
        <v>8.9834</v>
      </c>
      <c r="F41" s="16">
        <v>8.0857</v>
      </c>
    </row>
    <row r="42" spans="1:6" ht="12.75">
      <c r="A42" s="18"/>
      <c r="B42" s="18"/>
      <c r="C42" s="16"/>
      <c r="D42" s="16"/>
      <c r="E42" s="16"/>
      <c r="F42" s="16"/>
    </row>
    <row r="43" spans="1:6" ht="12.75">
      <c r="A43" s="18"/>
      <c r="B43" s="18"/>
      <c r="C43" s="16"/>
      <c r="D43" s="16"/>
      <c r="E43" s="16"/>
      <c r="F43" s="16"/>
    </row>
    <row r="44" spans="1:6" ht="15.75">
      <c r="A44" s="17">
        <v>36702</v>
      </c>
      <c r="B44" s="15" t="s">
        <v>203</v>
      </c>
      <c r="C44" s="16">
        <v>10</v>
      </c>
      <c r="D44" s="16">
        <v>7.1374</v>
      </c>
      <c r="E44" s="16">
        <v>8.3409</v>
      </c>
      <c r="F44" s="16">
        <v>7.6708</v>
      </c>
    </row>
    <row r="45" spans="1:6" ht="15.75">
      <c r="A45" s="17">
        <v>36702</v>
      </c>
      <c r="B45" s="15" t="s">
        <v>204</v>
      </c>
      <c r="C45" s="16" t="s">
        <v>243</v>
      </c>
      <c r="D45" s="16">
        <v>7.3539</v>
      </c>
      <c r="E45" s="16">
        <v>8.9449</v>
      </c>
      <c r="F45" s="16">
        <v>8.2144</v>
      </c>
    </row>
    <row r="46" spans="1:6" ht="15.75">
      <c r="A46" s="17">
        <v>36702</v>
      </c>
      <c r="B46" s="15" t="s">
        <v>205</v>
      </c>
      <c r="C46" s="16">
        <v>34</v>
      </c>
      <c r="D46" s="16">
        <v>8.2045</v>
      </c>
      <c r="E46" s="16">
        <v>10.1463</v>
      </c>
      <c r="F46" s="16">
        <v>9.3853</v>
      </c>
    </row>
    <row r="47" spans="1:6" ht="15.75">
      <c r="A47" s="17">
        <v>36702</v>
      </c>
      <c r="B47" s="15" t="s">
        <v>206</v>
      </c>
      <c r="C47" s="16">
        <v>56</v>
      </c>
      <c r="D47" s="16">
        <v>8.4878</v>
      </c>
      <c r="E47" s="16">
        <v>10.6144</v>
      </c>
      <c r="F47" s="16">
        <v>9.797</v>
      </c>
    </row>
    <row r="48" spans="1:6" ht="15.75">
      <c r="A48" s="17">
        <v>36702</v>
      </c>
      <c r="B48" s="15" t="s">
        <v>207</v>
      </c>
      <c r="C48" s="16">
        <v>18</v>
      </c>
      <c r="D48" s="16">
        <v>7.4365</v>
      </c>
      <c r="E48" s="16">
        <v>9.0823</v>
      </c>
      <c r="F48" s="16">
        <v>8.2316</v>
      </c>
    </row>
    <row r="49" spans="1:6" ht="15.75">
      <c r="A49" s="17">
        <v>36702</v>
      </c>
      <c r="B49" s="15" t="s">
        <v>208</v>
      </c>
      <c r="C49" s="16">
        <v>74</v>
      </c>
      <c r="D49" s="16">
        <v>9.8703</v>
      </c>
      <c r="E49" s="16">
        <v>11.5521</v>
      </c>
      <c r="F49" s="16">
        <v>10.4652</v>
      </c>
    </row>
    <row r="50" spans="1:6" ht="15.75">
      <c r="A50" s="17">
        <v>36702</v>
      </c>
      <c r="B50" s="15" t="s">
        <v>209</v>
      </c>
      <c r="C50" s="16">
        <v>2</v>
      </c>
      <c r="D50" s="16">
        <v>9.2658</v>
      </c>
      <c r="E50" s="16">
        <v>11.5571</v>
      </c>
      <c r="F50" s="16">
        <v>10.6325</v>
      </c>
    </row>
    <row r="51" spans="1:6" ht="15.75">
      <c r="A51" s="17">
        <v>36702</v>
      </c>
      <c r="B51" s="15" t="s">
        <v>210</v>
      </c>
      <c r="C51" s="16">
        <v>63</v>
      </c>
      <c r="D51" s="16">
        <v>9.6481</v>
      </c>
      <c r="E51" s="16">
        <v>13.1859</v>
      </c>
      <c r="F51" s="16">
        <v>12.2598</v>
      </c>
    </row>
    <row r="52" spans="1:6" ht="15.75">
      <c r="A52" s="17">
        <v>36702</v>
      </c>
      <c r="B52" s="15" t="s">
        <v>211</v>
      </c>
      <c r="C52" s="16">
        <v>11</v>
      </c>
      <c r="D52" s="16">
        <v>6.931</v>
      </c>
      <c r="E52" s="16">
        <v>8.2376</v>
      </c>
      <c r="F52" s="16">
        <v>7.2103</v>
      </c>
    </row>
    <row r="53" spans="1:6" ht="15.75">
      <c r="A53" s="17">
        <v>36702</v>
      </c>
      <c r="B53" s="15" t="s">
        <v>212</v>
      </c>
      <c r="C53" s="16">
        <v>91</v>
      </c>
      <c r="D53" s="16">
        <v>6.6347</v>
      </c>
      <c r="E53" s="16">
        <v>8.9354</v>
      </c>
      <c r="F53" s="16">
        <v>7.8745</v>
      </c>
    </row>
    <row r="54" spans="1:6" ht="15.75">
      <c r="A54" s="17">
        <v>36702</v>
      </c>
      <c r="B54" s="15" t="s">
        <v>213</v>
      </c>
      <c r="C54" s="16">
        <v>6</v>
      </c>
      <c r="D54" s="16">
        <v>7.0186</v>
      </c>
      <c r="E54" s="16">
        <v>8.8406</v>
      </c>
      <c r="F54" s="16">
        <v>7.6443</v>
      </c>
    </row>
    <row r="55" spans="1:6" ht="15.75">
      <c r="A55" s="17">
        <v>36702</v>
      </c>
      <c r="B55" s="15" t="s">
        <v>214</v>
      </c>
      <c r="C55" s="16" t="s">
        <v>244</v>
      </c>
      <c r="D55" s="16">
        <v>6.7606</v>
      </c>
      <c r="E55" s="16">
        <v>8.1792</v>
      </c>
      <c r="F55" s="16">
        <v>7.3526</v>
      </c>
    </row>
    <row r="56" spans="1:6" ht="15.75">
      <c r="A56" s="17">
        <v>36702</v>
      </c>
      <c r="B56" s="15" t="s">
        <v>215</v>
      </c>
      <c r="C56" s="16">
        <v>202</v>
      </c>
      <c r="D56" s="16">
        <v>8.6428</v>
      </c>
      <c r="E56" s="16">
        <v>10.0057</v>
      </c>
      <c r="F56" s="16">
        <v>9.0602</v>
      </c>
    </row>
    <row r="57" spans="1:6" ht="15.75">
      <c r="A57" s="17">
        <v>36702</v>
      </c>
      <c r="B57" s="15" t="s">
        <v>216</v>
      </c>
      <c r="C57" s="16">
        <v>181</v>
      </c>
      <c r="D57" s="16">
        <v>8.5585</v>
      </c>
      <c r="E57" s="16">
        <v>10.8839</v>
      </c>
      <c r="F57" s="16">
        <v>9.8548</v>
      </c>
    </row>
    <row r="58" spans="1:6" ht="15.75">
      <c r="A58" s="17">
        <v>36702</v>
      </c>
      <c r="B58" s="15" t="s">
        <v>217</v>
      </c>
      <c r="C58" s="16">
        <v>30</v>
      </c>
      <c r="D58" s="16">
        <v>8.6114</v>
      </c>
      <c r="E58" s="16">
        <v>10.6464</v>
      </c>
      <c r="F58" s="16">
        <v>9.4589</v>
      </c>
    </row>
    <row r="59" spans="1:6" ht="15.75">
      <c r="A59" s="17">
        <v>36702</v>
      </c>
      <c r="B59" s="15" t="s">
        <v>218</v>
      </c>
      <c r="C59" s="16">
        <v>17</v>
      </c>
      <c r="D59" s="16">
        <v>8.4737</v>
      </c>
      <c r="E59" s="16">
        <v>11.3531</v>
      </c>
      <c r="F59" s="16">
        <v>10.0269</v>
      </c>
    </row>
    <row r="60" spans="1:6" ht="15.75">
      <c r="A60" s="17">
        <v>36702</v>
      </c>
      <c r="B60" s="15" t="s">
        <v>219</v>
      </c>
      <c r="C60" s="16">
        <v>4</v>
      </c>
      <c r="D60" s="16">
        <v>7.8265</v>
      </c>
      <c r="E60" s="16">
        <v>10.3275</v>
      </c>
      <c r="F60" s="16">
        <v>9.3011</v>
      </c>
    </row>
    <row r="61" spans="1:6" ht="15.75">
      <c r="A61" s="17">
        <v>36702</v>
      </c>
      <c r="B61" s="15" t="s">
        <v>220</v>
      </c>
      <c r="C61" s="16">
        <v>12</v>
      </c>
      <c r="D61" s="16">
        <v>8.7831</v>
      </c>
      <c r="E61" s="16">
        <v>10.2634</v>
      </c>
      <c r="F61" s="16">
        <v>9.3279</v>
      </c>
    </row>
    <row r="62" spans="1:6" ht="15.75">
      <c r="A62" s="17">
        <v>36702</v>
      </c>
      <c r="B62" s="15" t="s">
        <v>221</v>
      </c>
      <c r="C62" s="16">
        <v>150</v>
      </c>
      <c r="D62" s="16">
        <v>6.8653</v>
      </c>
      <c r="E62" s="16">
        <v>9.6192</v>
      </c>
      <c r="F62" s="16">
        <v>8.5293</v>
      </c>
    </row>
    <row r="63" spans="1:6" ht="15.75">
      <c r="A63" s="17">
        <v>36702</v>
      </c>
      <c r="B63" s="15" t="s">
        <v>222</v>
      </c>
      <c r="C63" s="16">
        <v>112</v>
      </c>
      <c r="D63" s="16">
        <v>8.7613</v>
      </c>
      <c r="E63" s="16">
        <v>11.1186</v>
      </c>
      <c r="F63" s="16">
        <v>10.1406</v>
      </c>
    </row>
    <row r="64" spans="1:6" ht="15.75">
      <c r="A64" s="17">
        <v>36702</v>
      </c>
      <c r="B64" s="15" t="s">
        <v>223</v>
      </c>
      <c r="C64" s="16">
        <v>27</v>
      </c>
      <c r="D64" s="16">
        <v>8.462</v>
      </c>
      <c r="E64" s="16">
        <v>10.675</v>
      </c>
      <c r="F64" s="16">
        <v>9.5822</v>
      </c>
    </row>
    <row r="65" spans="1:6" ht="15.75">
      <c r="A65" s="17">
        <v>36702</v>
      </c>
      <c r="B65" s="15" t="s">
        <v>224</v>
      </c>
      <c r="C65" s="16" t="s">
        <v>245</v>
      </c>
      <c r="D65" s="16">
        <v>7.8037</v>
      </c>
      <c r="E65" s="16">
        <v>10.7026</v>
      </c>
      <c r="F65" s="16">
        <v>9.7621</v>
      </c>
    </row>
    <row r="66" spans="1:6" ht="15.75">
      <c r="A66" s="17">
        <v>36702</v>
      </c>
      <c r="B66" s="15" t="s">
        <v>225</v>
      </c>
      <c r="C66" s="16">
        <v>111</v>
      </c>
      <c r="D66" s="16">
        <v>8.0172</v>
      </c>
      <c r="E66" s="16">
        <v>9.5385</v>
      </c>
      <c r="F66" s="16">
        <v>8.6202</v>
      </c>
    </row>
    <row r="67" spans="1:6" ht="15.75">
      <c r="A67" s="17">
        <v>36702</v>
      </c>
      <c r="B67" s="15" t="s">
        <v>226</v>
      </c>
      <c r="C67" s="16" t="s">
        <v>246</v>
      </c>
      <c r="D67" s="16">
        <v>8.0981</v>
      </c>
      <c r="E67" s="16">
        <v>9.4011</v>
      </c>
      <c r="F67" s="16">
        <v>8.5159</v>
      </c>
    </row>
    <row r="68" spans="1:6" ht="15.75">
      <c r="A68" s="17">
        <v>36702</v>
      </c>
      <c r="B68" s="15" t="s">
        <v>227</v>
      </c>
      <c r="C68" s="16">
        <v>23</v>
      </c>
      <c r="D68" s="16">
        <v>7.6678</v>
      </c>
      <c r="E68" s="16">
        <v>9.7524</v>
      </c>
      <c r="F68" s="16">
        <v>8.7303</v>
      </c>
    </row>
    <row r="69" spans="1:6" ht="15.75">
      <c r="A69" s="17">
        <v>36702</v>
      </c>
      <c r="B69" s="15" t="s">
        <v>228</v>
      </c>
      <c r="C69" s="16">
        <v>7</v>
      </c>
      <c r="D69" s="16">
        <v>8.1746</v>
      </c>
      <c r="E69" s="16">
        <v>11.4181</v>
      </c>
      <c r="F69" s="16">
        <v>10.5173</v>
      </c>
    </row>
    <row r="70" spans="1:6" ht="15.75">
      <c r="A70" s="17">
        <v>36702</v>
      </c>
      <c r="B70" s="15" t="s">
        <v>229</v>
      </c>
      <c r="C70" s="16">
        <v>30</v>
      </c>
      <c r="D70" s="16">
        <v>8.8074</v>
      </c>
      <c r="E70" s="16">
        <v>11.4615</v>
      </c>
      <c r="F70" s="16">
        <v>10.0315</v>
      </c>
    </row>
    <row r="71" spans="1:6" ht="15.75">
      <c r="A71" s="17">
        <v>36702</v>
      </c>
      <c r="B71" s="15" t="s">
        <v>230</v>
      </c>
      <c r="C71" s="16">
        <v>16</v>
      </c>
      <c r="D71" s="16">
        <v>8.5712</v>
      </c>
      <c r="E71" s="16">
        <v>10.313</v>
      </c>
      <c r="F71" s="16">
        <v>9.4386</v>
      </c>
    </row>
    <row r="72" spans="1:6" ht="15.75">
      <c r="A72" s="17">
        <v>36702</v>
      </c>
      <c r="B72" s="15" t="s">
        <v>231</v>
      </c>
      <c r="C72" s="16">
        <v>24</v>
      </c>
      <c r="D72" s="16">
        <v>8.1051</v>
      </c>
      <c r="E72" s="16">
        <v>10.0042</v>
      </c>
      <c r="F72" s="16">
        <v>8.8437</v>
      </c>
    </row>
    <row r="73" spans="1:6" ht="15.75">
      <c r="A73" s="17">
        <v>36702</v>
      </c>
      <c r="B73" s="15" t="s">
        <v>232</v>
      </c>
      <c r="C73" s="16">
        <v>3</v>
      </c>
      <c r="D73" s="16">
        <v>7.8669</v>
      </c>
      <c r="E73" s="16">
        <v>11.1394</v>
      </c>
      <c r="F73" s="16">
        <v>10.2075</v>
      </c>
    </row>
    <row r="74" spans="1:6" ht="15.75">
      <c r="A74" s="17">
        <v>36702</v>
      </c>
      <c r="B74" s="15" t="s">
        <v>233</v>
      </c>
      <c r="C74" s="16">
        <v>203</v>
      </c>
      <c r="D74" s="16">
        <v>8.232</v>
      </c>
      <c r="E74" s="16">
        <v>9.6351</v>
      </c>
      <c r="F74" s="16">
        <v>8.71</v>
      </c>
    </row>
    <row r="75" spans="1:6" ht="15.75">
      <c r="A75" s="17">
        <v>36702</v>
      </c>
      <c r="B75" s="15" t="s">
        <v>234</v>
      </c>
      <c r="C75" s="16">
        <v>120</v>
      </c>
      <c r="D75" s="16">
        <v>8.1546</v>
      </c>
      <c r="E75" s="16">
        <v>10.2014</v>
      </c>
      <c r="F75" s="16">
        <v>9.2261</v>
      </c>
    </row>
    <row r="76" spans="1:6" ht="15.75">
      <c r="A76" s="17">
        <v>36702</v>
      </c>
      <c r="B76" s="15" t="s">
        <v>235</v>
      </c>
      <c r="C76" s="16">
        <v>7</v>
      </c>
      <c r="D76" s="16">
        <v>9.1602</v>
      </c>
      <c r="E76" s="16">
        <v>10.3798</v>
      </c>
      <c r="F76" s="16">
        <v>9.3324</v>
      </c>
    </row>
    <row r="77" spans="1:6" ht="15.75">
      <c r="A77" s="17">
        <v>36702</v>
      </c>
      <c r="B77" s="15" t="s">
        <v>236</v>
      </c>
      <c r="C77" s="16">
        <v>12</v>
      </c>
      <c r="D77" s="16">
        <v>10.016</v>
      </c>
      <c r="E77" s="16">
        <v>11.3414</v>
      </c>
      <c r="F77" s="16">
        <v>10.3566</v>
      </c>
    </row>
    <row r="78" spans="1:6" ht="15.75">
      <c r="A78" s="17">
        <v>36702</v>
      </c>
      <c r="B78" s="15" t="s">
        <v>237</v>
      </c>
      <c r="C78" s="16">
        <v>72</v>
      </c>
      <c r="D78" s="16">
        <v>9.7593</v>
      </c>
      <c r="E78" s="16">
        <v>11.7181</v>
      </c>
      <c r="F78" s="16">
        <v>10.1587</v>
      </c>
    </row>
    <row r="79" spans="1:6" ht="15.75">
      <c r="A79" s="17">
        <v>36702</v>
      </c>
      <c r="B79" s="15" t="s">
        <v>238</v>
      </c>
      <c r="C79" s="16">
        <v>59</v>
      </c>
      <c r="D79" s="16">
        <v>9.6163</v>
      </c>
      <c r="E79" s="16">
        <v>11.5424</v>
      </c>
      <c r="F79" s="16">
        <v>10.3851</v>
      </c>
    </row>
    <row r="80" spans="1:6" ht="15.75">
      <c r="A80" s="17">
        <v>36702</v>
      </c>
      <c r="B80" s="15" t="s">
        <v>239</v>
      </c>
      <c r="C80" s="16" t="s">
        <v>247</v>
      </c>
      <c r="D80" s="16">
        <v>8.6917</v>
      </c>
      <c r="E80" s="16">
        <v>9.9134</v>
      </c>
      <c r="F80" s="16">
        <v>8.8584</v>
      </c>
    </row>
    <row r="81" spans="1:6" ht="15.75">
      <c r="A81" s="17">
        <v>36702</v>
      </c>
      <c r="B81" s="15" t="s">
        <v>240</v>
      </c>
      <c r="C81" s="16">
        <v>4</v>
      </c>
      <c r="D81" s="16">
        <v>8.6234</v>
      </c>
      <c r="E81" s="16">
        <v>11.7744</v>
      </c>
      <c r="F81" s="16">
        <v>10.4429</v>
      </c>
    </row>
    <row r="82" spans="1:6" ht="15.75">
      <c r="A82" s="17">
        <v>36702</v>
      </c>
      <c r="B82" s="15" t="s">
        <v>241</v>
      </c>
      <c r="C82" s="16">
        <v>131</v>
      </c>
      <c r="D82" s="16">
        <v>8.5709</v>
      </c>
      <c r="E82" s="16">
        <v>9.6362</v>
      </c>
      <c r="F82" s="16">
        <v>8.6655</v>
      </c>
    </row>
    <row r="83" spans="1:6" ht="15.75">
      <c r="A83" s="17">
        <v>36702</v>
      </c>
      <c r="B83" s="15" t="s">
        <v>242</v>
      </c>
      <c r="C83" s="16">
        <v>205</v>
      </c>
      <c r="D83" s="16">
        <v>7.7982</v>
      </c>
      <c r="E83" s="16">
        <v>9.0967</v>
      </c>
      <c r="F83" s="16">
        <v>8.1017</v>
      </c>
    </row>
    <row r="84" spans="1:6" ht="12.75">
      <c r="A84" s="15"/>
      <c r="B84" s="15"/>
      <c r="C84" s="16"/>
      <c r="D84" s="16"/>
      <c r="E84" s="16"/>
      <c r="F84" s="16"/>
    </row>
    <row r="85" spans="1:6" ht="12.75">
      <c r="A85" s="15"/>
      <c r="B85" s="15"/>
      <c r="C85" s="16"/>
      <c r="D85" s="16"/>
      <c r="E85" s="16"/>
      <c r="F85" s="16"/>
    </row>
    <row r="86" spans="1:6" ht="15.75">
      <c r="A86" s="17">
        <v>36730</v>
      </c>
      <c r="B86" s="15" t="s">
        <v>203</v>
      </c>
      <c r="C86" s="16">
        <v>14</v>
      </c>
      <c r="D86" s="16">
        <v>8.7303</v>
      </c>
      <c r="E86" s="16">
        <v>10.4268</v>
      </c>
      <c r="F86" s="16">
        <v>9.7509</v>
      </c>
    </row>
    <row r="87" spans="1:6" ht="15.75">
      <c r="A87" s="17">
        <v>36730</v>
      </c>
      <c r="B87" s="15" t="s">
        <v>204</v>
      </c>
      <c r="C87" s="16">
        <v>28</v>
      </c>
      <c r="D87" s="16">
        <v>805587</v>
      </c>
      <c r="E87" s="16">
        <v>909426</v>
      </c>
      <c r="F87" s="16">
        <v>9.4855</v>
      </c>
    </row>
    <row r="88" spans="1:6" ht="15.75">
      <c r="A88" s="17">
        <v>36730</v>
      </c>
      <c r="B88" s="15" t="s">
        <v>205</v>
      </c>
      <c r="C88" s="16">
        <v>29</v>
      </c>
      <c r="D88" s="16">
        <v>7.5225</v>
      </c>
      <c r="E88" s="16">
        <v>10.2601</v>
      </c>
      <c r="F88" s="16">
        <v>9.4987</v>
      </c>
    </row>
    <row r="89" spans="1:6" ht="15.75">
      <c r="A89" s="17">
        <v>36730</v>
      </c>
      <c r="B89" s="15" t="s">
        <v>206</v>
      </c>
      <c r="C89" s="16">
        <v>25</v>
      </c>
      <c r="D89" s="16">
        <v>7.7303</v>
      </c>
      <c r="E89" s="16">
        <v>9.1298</v>
      </c>
      <c r="F89" s="16">
        <v>8.2921</v>
      </c>
    </row>
    <row r="90" spans="1:6" ht="15.75">
      <c r="A90" s="17">
        <v>36730</v>
      </c>
      <c r="B90" s="15" t="s">
        <v>207</v>
      </c>
      <c r="C90" s="16">
        <v>32</v>
      </c>
      <c r="D90" s="16">
        <v>8.0573</v>
      </c>
      <c r="E90" s="16">
        <v>9.9542</v>
      </c>
      <c r="F90" s="16">
        <v>9.1685</v>
      </c>
    </row>
    <row r="91" spans="1:6" ht="15.75">
      <c r="A91" s="17">
        <v>36730</v>
      </c>
      <c r="B91" s="15" t="s">
        <v>208</v>
      </c>
      <c r="C91" s="16">
        <v>18</v>
      </c>
      <c r="D91" s="16">
        <v>8.2422</v>
      </c>
      <c r="E91" s="16">
        <v>10.1841</v>
      </c>
      <c r="F91" s="16">
        <v>9.4363</v>
      </c>
    </row>
    <row r="92" spans="1:6" ht="15.75">
      <c r="A92" s="17">
        <v>36730</v>
      </c>
      <c r="B92" s="15" t="s">
        <v>209</v>
      </c>
      <c r="C92" s="16">
        <v>8</v>
      </c>
      <c r="D92" s="16">
        <v>7.807</v>
      </c>
      <c r="E92" s="16">
        <v>8.9452</v>
      </c>
      <c r="F92" s="16">
        <v>8.0808</v>
      </c>
    </row>
    <row r="93" spans="1:6" ht="15.75">
      <c r="A93" s="17">
        <v>36730</v>
      </c>
      <c r="B93" s="15" t="s">
        <v>210</v>
      </c>
      <c r="C93" s="16">
        <v>40</v>
      </c>
      <c r="D93" s="16">
        <v>7.9186</v>
      </c>
      <c r="E93" s="16">
        <v>10.1315</v>
      </c>
      <c r="F93" s="16">
        <v>9.1811</v>
      </c>
    </row>
    <row r="94" spans="1:6" ht="15.75">
      <c r="A94" s="17">
        <v>36730</v>
      </c>
      <c r="B94" s="15" t="s">
        <v>211</v>
      </c>
      <c r="C94" s="16">
        <v>21</v>
      </c>
      <c r="D94" s="16">
        <v>7.5649</v>
      </c>
      <c r="E94" s="16">
        <v>9.9742</v>
      </c>
      <c r="F94" s="16">
        <v>8.6835</v>
      </c>
    </row>
    <row r="95" spans="1:6" ht="15.75">
      <c r="A95" s="17">
        <v>36730</v>
      </c>
      <c r="B95" s="15" t="s">
        <v>212</v>
      </c>
      <c r="C95" s="16">
        <v>13</v>
      </c>
      <c r="D95" s="16">
        <v>8.7204</v>
      </c>
      <c r="E95" s="16">
        <v>11.6392</v>
      </c>
      <c r="F95" s="16">
        <v>10.5278</v>
      </c>
    </row>
    <row r="96" spans="1:6" ht="15.75">
      <c r="A96" s="17">
        <v>36730</v>
      </c>
      <c r="B96" s="15" t="s">
        <v>213</v>
      </c>
      <c r="C96" s="16">
        <v>36</v>
      </c>
      <c r="D96" s="16">
        <v>8.5805</v>
      </c>
      <c r="E96" s="16">
        <v>10.6111</v>
      </c>
      <c r="F96" s="16">
        <v>9.2589</v>
      </c>
    </row>
    <row r="97" spans="1:6" ht="15.75">
      <c r="A97" s="17">
        <v>36730</v>
      </c>
      <c r="B97" s="15" t="s">
        <v>214</v>
      </c>
      <c r="C97" s="16">
        <v>63</v>
      </c>
      <c r="D97" s="16">
        <v>9.0682</v>
      </c>
      <c r="E97" s="16">
        <v>11.6903</v>
      </c>
      <c r="F97" s="16">
        <v>10.6557</v>
      </c>
    </row>
    <row r="98" spans="1:6" ht="15.75">
      <c r="A98" s="17">
        <v>36730</v>
      </c>
      <c r="B98" s="15" t="s">
        <v>215</v>
      </c>
      <c r="C98" s="16">
        <v>11</v>
      </c>
      <c r="D98" s="16">
        <v>8.428</v>
      </c>
      <c r="E98" s="16">
        <v>11.7905</v>
      </c>
      <c r="F98" s="16">
        <v>10.6395</v>
      </c>
    </row>
    <row r="99" spans="1:6" ht="15.75">
      <c r="A99" s="17">
        <v>36730</v>
      </c>
      <c r="B99" s="15" t="s">
        <v>216</v>
      </c>
      <c r="C99" s="16">
        <v>19</v>
      </c>
      <c r="D99" s="16">
        <v>7.5993</v>
      </c>
      <c r="E99" s="16">
        <v>9.2989</v>
      </c>
      <c r="F99" s="16">
        <v>8.0735</v>
      </c>
    </row>
    <row r="100" spans="1:6" ht="15.75">
      <c r="A100" s="17">
        <v>36730</v>
      </c>
      <c r="B100" s="15" t="s">
        <v>217</v>
      </c>
      <c r="C100" s="16">
        <v>104</v>
      </c>
      <c r="D100" s="16">
        <v>7.8186</v>
      </c>
      <c r="E100" s="16">
        <v>9.3793</v>
      </c>
      <c r="F100" s="16">
        <v>8.3636</v>
      </c>
    </row>
    <row r="101" spans="1:6" ht="15.75">
      <c r="A101" s="17">
        <v>36730</v>
      </c>
      <c r="B101" s="15" t="s">
        <v>218</v>
      </c>
      <c r="C101" s="16">
        <v>62</v>
      </c>
      <c r="D101" s="16">
        <v>7.8792</v>
      </c>
      <c r="E101" s="16">
        <v>9.2619</v>
      </c>
      <c r="F101" s="16">
        <v>8.314</v>
      </c>
    </row>
    <row r="102" spans="1:6" ht="15.75">
      <c r="A102" s="17">
        <v>36730</v>
      </c>
      <c r="B102" s="15" t="s">
        <v>219</v>
      </c>
      <c r="C102" s="16">
        <v>16</v>
      </c>
      <c r="D102" s="16">
        <v>8.5712</v>
      </c>
      <c r="E102" s="16">
        <v>11.4259</v>
      </c>
      <c r="F102" s="16">
        <v>10.3591</v>
      </c>
    </row>
    <row r="103" spans="1:6" ht="15.75">
      <c r="A103" s="17">
        <v>36730</v>
      </c>
      <c r="B103" s="15" t="s">
        <v>220</v>
      </c>
      <c r="C103" s="16">
        <v>7</v>
      </c>
      <c r="D103" s="16">
        <v>8.1749</v>
      </c>
      <c r="E103" s="16">
        <v>9.8715</v>
      </c>
      <c r="F103" s="16">
        <v>8.8048</v>
      </c>
    </row>
    <row r="104" spans="1:6" ht="15.75">
      <c r="A104" s="17">
        <v>36730</v>
      </c>
      <c r="B104" s="15" t="s">
        <v>221</v>
      </c>
      <c r="C104" s="16">
        <v>30</v>
      </c>
      <c r="D104" s="16">
        <v>8.808</v>
      </c>
      <c r="E104" s="16">
        <v>11.6399</v>
      </c>
      <c r="F104" s="16">
        <v>10.5432</v>
      </c>
    </row>
    <row r="105" spans="1:6" ht="15.75">
      <c r="A105" s="17">
        <v>36730</v>
      </c>
      <c r="B105" s="15" t="s">
        <v>222</v>
      </c>
      <c r="C105" s="16">
        <v>23</v>
      </c>
      <c r="D105" s="16">
        <v>7.6682</v>
      </c>
      <c r="E105" s="16">
        <v>10.3251</v>
      </c>
      <c r="F105" s="16">
        <v>9.2711</v>
      </c>
    </row>
    <row r="106" spans="1:6" ht="15.75">
      <c r="A106" s="17">
        <v>36730</v>
      </c>
      <c r="B106" s="15" t="s">
        <v>223</v>
      </c>
      <c r="C106" s="16">
        <v>15</v>
      </c>
      <c r="D106" s="16">
        <v>8.0061</v>
      </c>
      <c r="E106" s="16">
        <v>9.9603</v>
      </c>
      <c r="F106" s="16">
        <v>8.6861</v>
      </c>
    </row>
    <row r="107" spans="1:6" ht="15.75">
      <c r="A107" s="17">
        <v>36730</v>
      </c>
      <c r="B107" s="15" t="s">
        <v>224</v>
      </c>
      <c r="C107" s="16">
        <v>17</v>
      </c>
      <c r="D107" s="16">
        <v>7.3159</v>
      </c>
      <c r="E107" s="16">
        <v>10.7568</v>
      </c>
      <c r="F107" s="16">
        <v>9.7512</v>
      </c>
    </row>
    <row r="108" spans="1:6" ht="15.75">
      <c r="A108" s="17">
        <v>36730</v>
      </c>
      <c r="B108" s="15" t="s">
        <v>225</v>
      </c>
      <c r="C108" s="16">
        <v>182</v>
      </c>
      <c r="D108" s="16">
        <v>8.6405</v>
      </c>
      <c r="E108" s="16">
        <v>10.4589</v>
      </c>
      <c r="F108" s="16">
        <v>9.3881</v>
      </c>
    </row>
    <row r="109" spans="1:6" ht="15.75">
      <c r="A109" s="17">
        <v>36730</v>
      </c>
      <c r="B109" s="15" t="s">
        <v>226</v>
      </c>
      <c r="C109" s="16">
        <v>1103</v>
      </c>
      <c r="D109" s="16">
        <v>8.9683</v>
      </c>
      <c r="E109" s="16">
        <v>11.4111</v>
      </c>
      <c r="F109" s="16">
        <v>10.2682</v>
      </c>
    </row>
    <row r="110" spans="1:6" ht="15.75">
      <c r="A110" s="17">
        <v>36730</v>
      </c>
      <c r="B110" s="15" t="s">
        <v>227</v>
      </c>
      <c r="C110" s="16">
        <v>8</v>
      </c>
      <c r="D110" s="16">
        <v>9.0962</v>
      </c>
      <c r="E110" s="16">
        <v>10.9666</v>
      </c>
      <c r="F110" s="16">
        <v>9.8659</v>
      </c>
    </row>
    <row r="111" spans="1:6" ht="15.75">
      <c r="A111" s="17">
        <v>36730</v>
      </c>
      <c r="B111" s="15" t="s">
        <v>228</v>
      </c>
      <c r="C111" s="16">
        <v>88</v>
      </c>
      <c r="D111" s="16">
        <v>7.7783</v>
      </c>
      <c r="E111" s="16">
        <v>9.7997</v>
      </c>
      <c r="F111" s="16">
        <v>8.6615</v>
      </c>
    </row>
    <row r="112" spans="1:6" ht="15.75">
      <c r="A112" s="17">
        <v>36730</v>
      </c>
      <c r="B112" s="15" t="s">
        <v>229</v>
      </c>
      <c r="C112" s="16">
        <v>351</v>
      </c>
      <c r="D112" s="16">
        <v>8.0736</v>
      </c>
      <c r="E112" s="16">
        <v>10.8439</v>
      </c>
      <c r="F112" s="16">
        <v>9.9459</v>
      </c>
    </row>
    <row r="113" spans="1:6" ht="15.75">
      <c r="A113" s="17">
        <v>36730</v>
      </c>
      <c r="B113" s="15" t="s">
        <v>230</v>
      </c>
      <c r="C113" s="16">
        <v>27</v>
      </c>
      <c r="D113" s="16">
        <v>8.2371</v>
      </c>
      <c r="E113" s="16">
        <v>11.0446</v>
      </c>
      <c r="F113" s="16">
        <v>9.896</v>
      </c>
    </row>
    <row r="114" spans="1:6" ht="15.75">
      <c r="A114" s="17">
        <v>36730</v>
      </c>
      <c r="B114" s="15" t="s">
        <v>231</v>
      </c>
      <c r="C114" s="16">
        <v>34</v>
      </c>
      <c r="D114" s="16">
        <v>7.361</v>
      </c>
      <c r="E114" s="16">
        <v>9.5318</v>
      </c>
      <c r="F114" s="16">
        <v>8.2729</v>
      </c>
    </row>
    <row r="115" spans="1:6" ht="15.75">
      <c r="A115" s="17">
        <v>36730</v>
      </c>
      <c r="B115" s="15" t="s">
        <v>232</v>
      </c>
      <c r="C115" s="16">
        <v>16</v>
      </c>
      <c r="D115" s="16">
        <v>7.6658</v>
      </c>
      <c r="E115" s="16">
        <v>10.805</v>
      </c>
      <c r="F115" s="16">
        <v>9.8146</v>
      </c>
    </row>
    <row r="116" spans="1:6" ht="15.75">
      <c r="A116" s="17">
        <v>36730</v>
      </c>
      <c r="B116" s="15" t="s">
        <v>233</v>
      </c>
      <c r="C116" s="16">
        <v>33</v>
      </c>
      <c r="D116" s="16">
        <v>7.9848</v>
      </c>
      <c r="E116" s="16">
        <v>9.7751</v>
      </c>
      <c r="F116" s="16">
        <v>8.5594</v>
      </c>
    </row>
    <row r="117" spans="1:6" ht="15.75">
      <c r="A117" s="17">
        <v>36730</v>
      </c>
      <c r="B117" s="15" t="s">
        <v>234</v>
      </c>
      <c r="C117" s="16">
        <v>12</v>
      </c>
      <c r="D117" s="16">
        <v>9.2818</v>
      </c>
      <c r="E117" s="16">
        <v>11.4013</v>
      </c>
      <c r="F117" s="16">
        <v>10.1427</v>
      </c>
    </row>
    <row r="118" spans="1:6" ht="15.75">
      <c r="A118" s="17">
        <v>36730</v>
      </c>
      <c r="B118" s="15" t="s">
        <v>235</v>
      </c>
      <c r="C118" s="16">
        <v>7</v>
      </c>
      <c r="D118" s="16">
        <v>9.1601</v>
      </c>
      <c r="E118" s="16">
        <v>12.5175</v>
      </c>
      <c r="F118" s="16">
        <v>11.3098</v>
      </c>
    </row>
    <row r="119" spans="1:6" ht="15.75">
      <c r="A119" s="17">
        <v>36730</v>
      </c>
      <c r="B119" s="15" t="s">
        <v>236</v>
      </c>
      <c r="C119" s="16">
        <v>120</v>
      </c>
      <c r="D119" s="16">
        <v>8.1549</v>
      </c>
      <c r="E119" s="16">
        <v>10.0735</v>
      </c>
      <c r="F119" s="16">
        <v>8.4436</v>
      </c>
    </row>
    <row r="120" spans="1:6" ht="15.75">
      <c r="A120" s="17">
        <v>36730</v>
      </c>
      <c r="B120" s="15" t="s">
        <v>237</v>
      </c>
      <c r="C120" s="16">
        <v>203</v>
      </c>
      <c r="D120" s="16">
        <v>8.2324</v>
      </c>
      <c r="E120" s="16">
        <v>10.6114</v>
      </c>
      <c r="F120" s="16">
        <v>9.5535</v>
      </c>
    </row>
    <row r="121" spans="1:6" ht="15.75">
      <c r="A121" s="17">
        <v>36730</v>
      </c>
      <c r="B121" s="15" t="s">
        <v>238</v>
      </c>
      <c r="C121" s="16">
        <v>3</v>
      </c>
      <c r="D121" s="16">
        <v>7.8669</v>
      </c>
      <c r="E121" s="16">
        <v>9.9302</v>
      </c>
      <c r="F121" s="16">
        <v>8.9048</v>
      </c>
    </row>
    <row r="122" spans="1:6" ht="15.75">
      <c r="A122" s="17">
        <v>36730</v>
      </c>
      <c r="B122" s="15" t="s">
        <v>239</v>
      </c>
      <c r="C122" s="16">
        <v>24</v>
      </c>
      <c r="D122" s="16">
        <v>8.1055</v>
      </c>
      <c r="E122" s="16">
        <v>10.0833</v>
      </c>
      <c r="F122" s="16">
        <v>8.5821</v>
      </c>
    </row>
    <row r="123" spans="1:6" ht="15.75">
      <c r="A123" s="17">
        <v>36730</v>
      </c>
      <c r="B123" s="15" t="s">
        <v>240</v>
      </c>
      <c r="C123" s="16">
        <v>10</v>
      </c>
      <c r="D123" s="16">
        <v>7.7449</v>
      </c>
      <c r="E123" s="16">
        <v>9.4153</v>
      </c>
      <c r="F123" s="16">
        <v>8.4818</v>
      </c>
    </row>
    <row r="124" spans="1:6" ht="15.75">
      <c r="A124" s="17">
        <v>36730</v>
      </c>
      <c r="B124" s="15" t="s">
        <v>241</v>
      </c>
      <c r="C124" s="16">
        <v>14</v>
      </c>
      <c r="D124" s="16">
        <v>8.5075</v>
      </c>
      <c r="E124" s="16">
        <v>10.2624</v>
      </c>
      <c r="F124" s="16">
        <v>8.8828</v>
      </c>
    </row>
    <row r="125" spans="1:6" ht="15.75">
      <c r="A125" s="17">
        <v>36730</v>
      </c>
      <c r="B125" s="15" t="s">
        <v>242</v>
      </c>
      <c r="C125" s="16">
        <v>71</v>
      </c>
      <c r="D125" s="16">
        <v>7.8119</v>
      </c>
      <c r="E125" s="16">
        <v>9.6165</v>
      </c>
      <c r="F125" s="16">
        <v>8.2752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Institute of Ecosystem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Gail Bennett</dc:creator>
  <cp:keywords/>
  <dc:description/>
  <cp:lastModifiedBy>wrk4</cp:lastModifiedBy>
  <cp:lastPrinted>2002-03-19T04:03:40Z</cp:lastPrinted>
  <dcterms:created xsi:type="dcterms:W3CDTF">2000-10-25T22:46:29Z</dcterms:created>
  <dcterms:modified xsi:type="dcterms:W3CDTF">2003-05-23T19:51:46Z</dcterms:modified>
  <cp:category/>
  <cp:version/>
  <cp:contentType/>
  <cp:contentStatus/>
</cp:coreProperties>
</file>