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015" windowHeight="12885" activeTab="0"/>
  </bookViews>
  <sheets>
    <sheet name="Final" sheetId="1" r:id="rId1"/>
    <sheet name="Existing" sheetId="2" r:id="rId2"/>
    <sheet name="Base Scenario" sheetId="3" r:id="rId3"/>
    <sheet name="Std Alt" sheetId="4" r:id="rId4"/>
    <sheet name="Community Scenario A" sheetId="5" r:id="rId5"/>
    <sheet name="Community Scenario B" sheetId="6" r:id="rId6"/>
  </sheets>
  <definedNames/>
  <calcPr fullCalcOnLoad="1"/>
</workbook>
</file>

<file path=xl/sharedStrings.xml><?xml version="1.0" encoding="utf-8"?>
<sst xmlns="http://schemas.openxmlformats.org/spreadsheetml/2006/main" count="672" uniqueCount="147">
  <si>
    <t>Category</t>
  </si>
  <si>
    <t>Current</t>
  </si>
  <si>
    <t>Base Buildout</t>
  </si>
  <si>
    <t>Standard Alternative Scenario</t>
  </si>
  <si>
    <t>Buildout</t>
  </si>
  <si>
    <t>Percent Change</t>
  </si>
  <si>
    <t>Indicator</t>
  </si>
  <si>
    <t>Developed Residential Acres</t>
  </si>
  <si>
    <t>Developed Non-Residential Acres</t>
  </si>
  <si>
    <t>Residential Dwelling Units</t>
  </si>
  <si>
    <t>Units</t>
  </si>
  <si>
    <t>Commercial Floor Area</t>
  </si>
  <si>
    <t>Acres</t>
  </si>
  <si>
    <t>d.u.'s</t>
  </si>
  <si>
    <t>sq. ft</t>
  </si>
  <si>
    <t>Demographics &amp; Employment</t>
  </si>
  <si>
    <t>Population</t>
  </si>
  <si>
    <t>School Kids</t>
  </si>
  <si>
    <t>Labor Force Population</t>
  </si>
  <si>
    <t>Workers</t>
  </si>
  <si>
    <t>Persons</t>
  </si>
  <si>
    <t>Commercial Jobs</t>
  </si>
  <si>
    <t>Jobs</t>
  </si>
  <si>
    <t>Jobs to Housing Ratio</t>
  </si>
  <si>
    <t>Jobs/d.u.</t>
  </si>
  <si>
    <t>Open Space Supply</t>
  </si>
  <si>
    <t>Environmental &amp; Open Space</t>
  </si>
  <si>
    <t>Impervious Surfaces</t>
  </si>
  <si>
    <t>Percent</t>
  </si>
  <si>
    <t>Total Density</t>
  </si>
  <si>
    <r>
      <t>Persons/mi</t>
    </r>
    <r>
      <rPr>
        <sz val="10"/>
        <rFont val="Arial"/>
        <family val="2"/>
      </rPr>
      <t>²</t>
    </r>
  </si>
  <si>
    <t>Residential Housing Density</t>
  </si>
  <si>
    <t>d.u./Acre</t>
  </si>
  <si>
    <t>Acres/d.u.</t>
  </si>
  <si>
    <t>Land Use Characteristics</t>
  </si>
  <si>
    <t>Recreation Density</t>
  </si>
  <si>
    <r>
      <t>Ft</t>
    </r>
    <r>
      <rPr>
        <sz val="10"/>
        <rFont val="Arial"/>
        <family val="2"/>
      </rPr>
      <t>²</t>
    </r>
    <r>
      <rPr>
        <sz val="10"/>
        <rFont val="Arial"/>
        <family val="0"/>
      </rPr>
      <t>/person</t>
    </r>
  </si>
  <si>
    <t>Housing Proximity to Recreation</t>
  </si>
  <si>
    <t>Miles</t>
  </si>
  <si>
    <t>Housing Proximity to Community Centers</t>
  </si>
  <si>
    <t>Housing Proximity to Amenities</t>
  </si>
  <si>
    <t>Walkability</t>
  </si>
  <si>
    <t>Housing Proximity to Transit</t>
  </si>
  <si>
    <t>Employment Proximity to Transit</t>
  </si>
  <si>
    <t>Municipal Demands</t>
  </si>
  <si>
    <t>Fire &amp; Ambulance Service</t>
  </si>
  <si>
    <t>Calls/Years</t>
  </si>
  <si>
    <t>Police Service</t>
  </si>
  <si>
    <t>Solid Waste Demand</t>
  </si>
  <si>
    <t>Annual Tons</t>
  </si>
  <si>
    <t>Water &amp; Energy Use</t>
  </si>
  <si>
    <t>Total Energy Use</t>
  </si>
  <si>
    <t>mbtu/hh/yr</t>
  </si>
  <si>
    <t>Residential Energy Use</t>
  </si>
  <si>
    <t>Commercial Energy Use</t>
  </si>
  <si>
    <t>Residential Water Use</t>
  </si>
  <si>
    <t>mgals</t>
  </si>
  <si>
    <t>Transportation</t>
  </si>
  <si>
    <t>Vehicles</t>
  </si>
  <si>
    <t>Vehicle Trips per Day</t>
  </si>
  <si>
    <t>Trips/Day</t>
  </si>
  <si>
    <t>Grams/Yr</t>
  </si>
  <si>
    <t>Tons/Yr</t>
  </si>
  <si>
    <t>Annual CO Auto Emissions</t>
  </si>
  <si>
    <t>Annual CO2 Auto Emissions</t>
  </si>
  <si>
    <t>Annual NOx Auto Emissions</t>
  </si>
  <si>
    <t>Annual Hydrocarbon Auto Emissions</t>
  </si>
  <si>
    <t>School Kids Population</t>
  </si>
  <si>
    <t>0-%</t>
  </si>
  <si>
    <t>Calculation Method</t>
  </si>
  <si>
    <t>Assumption Source</t>
  </si>
  <si>
    <t>Buildout Totals</t>
  </si>
  <si>
    <t>Dwelling units</t>
  </si>
  <si>
    <t>Buildings</t>
  </si>
  <si>
    <t>Non-Residential floor area</t>
  </si>
  <si>
    <t>Total Developed Acres</t>
  </si>
  <si>
    <t>Recreation Land Use Acres</t>
  </si>
  <si>
    <t>Open Space Acres</t>
  </si>
  <si>
    <r>
      <t xml:space="preserve">Persons per Household </t>
    </r>
    <r>
      <rPr>
        <sz val="10"/>
        <rFont val="Times New Roman"/>
        <family val="1"/>
      </rPr>
      <t xml:space="preserve">* </t>
    </r>
    <r>
      <rPr>
        <sz val="10"/>
        <color indexed="12"/>
        <rFont val="Times New Roman"/>
        <family val="1"/>
      </rPr>
      <t>Dwelling Units</t>
    </r>
  </si>
  <si>
    <t>Person per Household from US Census 2000 per community</t>
  </si>
  <si>
    <r>
      <t>Population</t>
    </r>
    <r>
      <rPr>
        <sz val="10"/>
        <rFont val="Times New Roman"/>
        <family val="1"/>
      </rPr>
      <t xml:space="preserve"> * </t>
    </r>
    <r>
      <rPr>
        <sz val="10"/>
        <color indexed="17"/>
        <rFont val="Times New Roman"/>
        <family val="1"/>
      </rPr>
      <t>0.189 [18.9%- Percent school aged of population]</t>
    </r>
  </si>
  <si>
    <t>Percent school age population based on US. Census 2000 national average.</t>
  </si>
  <si>
    <t>Labor Force</t>
  </si>
  <si>
    <r>
      <t>Population</t>
    </r>
    <r>
      <rPr>
        <sz val="10"/>
        <rFont val="Times New Roman"/>
        <family val="1"/>
      </rPr>
      <t xml:space="preserve"> * </t>
    </r>
    <r>
      <rPr>
        <sz val="10"/>
        <color indexed="17"/>
        <rFont val="Times New Roman"/>
        <family val="1"/>
      </rPr>
      <t>0.4089 [40.89%- Percent in labor force of population]</t>
    </r>
  </si>
  <si>
    <t>Labor Force calculated using US averages from Private nonfarm employment (2001), U.S. Census Bureau &amp; 2000 Census.</t>
  </si>
  <si>
    <r>
      <t>Non-residential floor area</t>
    </r>
    <r>
      <rPr>
        <sz val="10"/>
        <rFont val="Times New Roman"/>
        <family val="1"/>
      </rPr>
      <t xml:space="preserve"> [sq. ft] / </t>
    </r>
    <r>
      <rPr>
        <sz val="10"/>
        <color indexed="17"/>
        <rFont val="Times New Roman"/>
        <family val="1"/>
      </rPr>
      <t>823 [floor area per employee]</t>
    </r>
  </si>
  <si>
    <t>Floor area per employee derived using data from "Commercial Buildings Energy Consumption Survey (1999)," Energy Information Administration.</t>
  </si>
  <si>
    <t>Commercial Jobs / Dwelling Units</t>
  </si>
  <si>
    <r>
      <t xml:space="preserve">Dwelling Units * </t>
    </r>
    <r>
      <rPr>
        <sz val="10"/>
        <color indexed="17"/>
        <rFont val="Times New Roman"/>
        <family val="1"/>
      </rPr>
      <t>1.84 [Vehicles per Household]</t>
    </r>
  </si>
  <si>
    <t>Vehicles per Household from US Census 2000 for NH</t>
  </si>
  <si>
    <t>Vehicle Trips per day</t>
  </si>
  <si>
    <r>
      <t xml:space="preserve">Dwelling Units *  </t>
    </r>
    <r>
      <rPr>
        <sz val="10"/>
        <color indexed="17"/>
        <rFont val="Times New Roman"/>
        <family val="1"/>
      </rPr>
      <t>5.95 (Household vehicle trips per day)</t>
    </r>
  </si>
  <si>
    <t>Household vehicle trips per day from Transportation Energy Data Book (2001), chapter 8, edition 24, US Department of Energy, Energy Efficiency and Renewable Energy</t>
  </si>
  <si>
    <t>Annual CO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</si>
  <si>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476.76 [CO grams per gallon]</t>
    </r>
  </si>
  <si>
    <t>Assumptions are based on US averages circa 2000 as provided by Figures for average annual emissions and fuel consumption for passenger cars and light trucks (July, 2000), US Environmental Protection Agency. - Unit conversions made in the calculations are not displayed here.</t>
  </si>
  <si>
    <t>Annual CO2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</si>
  <si>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19.7 [CO2 pounds per gallon]</t>
    </r>
  </si>
  <si>
    <t>Annual hydrocarbon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</si>
  <si>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60.22 [grams per gallon]</t>
    </r>
  </si>
  <si>
    <t>Annual NOx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</si>
  <si>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29.89 [NOx grams per gallon]</t>
    </r>
  </si>
  <si>
    <t>Water/Energy Use</t>
  </si>
  <si>
    <r>
      <t xml:space="preserve">Dwelling Units * </t>
    </r>
    <r>
      <rPr>
        <sz val="10"/>
        <color indexed="17"/>
        <rFont val="Times New Roman"/>
        <family val="1"/>
      </rPr>
      <t>391 [Gallons - Average Household water use]</t>
    </r>
  </si>
  <si>
    <t>Average Household water use from Estimated Use of Water in the United States in 2000, USGS Circular 1268, United States Geological Survey,2000</t>
  </si>
  <si>
    <r>
      <t xml:space="preserve">Dwelling Units * 101 </t>
    </r>
    <r>
      <rPr>
        <sz val="10"/>
        <color indexed="17"/>
        <rFont val="Times New Roman"/>
        <family val="1"/>
      </rPr>
      <t>[MBtu - Average annual energy use by household]</t>
    </r>
  </si>
  <si>
    <t>Average annual energy use by household from Residential Energy Consumption Survey (1997), US Energy Information Administration</t>
  </si>
  <si>
    <r>
      <t>Non-residential floor area</t>
    </r>
    <r>
      <rPr>
        <sz val="10"/>
        <rFont val="Times New Roman"/>
        <family val="1"/>
      </rPr>
      <t xml:space="preserve"> [sq. ft] * </t>
    </r>
    <r>
      <rPr>
        <sz val="10"/>
        <color indexed="17"/>
        <rFont val="Times New Roman"/>
        <family val="1"/>
      </rPr>
      <t>85.1 [ Thousand Btu per square foot]</t>
    </r>
  </si>
  <si>
    <t>Thousand Btu per square foot from Commercial Buildings Energy Consumption Survey (1999), Form EIA-871A, Energy Information Administration, Office of Energy Markets and End Use</t>
  </si>
  <si>
    <t>Total Energy use</t>
  </si>
  <si>
    <t>Residential Energy Use + Commercial Energy Use</t>
  </si>
  <si>
    <t>Development Footprint</t>
  </si>
  <si>
    <t>Developed Acres / Population</t>
  </si>
  <si>
    <r>
      <t xml:space="preserve">Population </t>
    </r>
    <r>
      <rPr>
        <sz val="10"/>
        <rFont val="Times New Roman"/>
        <family val="1"/>
      </rPr>
      <t>Per square mile</t>
    </r>
  </si>
  <si>
    <t>Dwelling Units / Developed Residential Acres</t>
  </si>
  <si>
    <t>Employment Density</t>
  </si>
  <si>
    <r>
      <t>Commercial Jobs</t>
    </r>
    <r>
      <rPr>
        <sz val="10"/>
        <rFont val="Times New Roman"/>
        <family val="1"/>
      </rPr>
      <t xml:space="preserve"> / </t>
    </r>
    <r>
      <rPr>
        <sz val="10"/>
        <color indexed="12"/>
        <rFont val="Times New Roman"/>
        <family val="1"/>
      </rPr>
      <t>Developed Non-Residential Acres</t>
    </r>
  </si>
  <si>
    <t>Recreation acres per person</t>
  </si>
  <si>
    <t>Recreation Land Use Acres / Population</t>
  </si>
  <si>
    <t>Environmental/ Open Space</t>
  </si>
  <si>
    <r>
      <t xml:space="preserve">Percent of total land area dedicated to Open Space : </t>
    </r>
    <r>
      <rPr>
        <sz val="10"/>
        <color indexed="12"/>
        <rFont val="Times New Roman"/>
        <family val="1"/>
      </rPr>
      <t xml:space="preserve">Open Space Acres / </t>
    </r>
    <r>
      <rPr>
        <sz val="10"/>
        <rFont val="Times New Roman"/>
        <family val="1"/>
      </rPr>
      <t>Total Acres</t>
    </r>
  </si>
  <si>
    <t>Imperviousness</t>
  </si>
  <si>
    <t>To be determined</t>
  </si>
  <si>
    <t>Greenness Index</t>
  </si>
  <si>
    <r>
      <t xml:space="preserve">Population * </t>
    </r>
    <r>
      <rPr>
        <sz val="10"/>
        <color indexed="17"/>
        <rFont val="Times New Roman"/>
        <family val="1"/>
      </rPr>
      <t>0.39 [Annual solid waste tons - landfill contribution - per person]</t>
    </r>
  </si>
  <si>
    <t>Sewer Demand</t>
  </si>
  <si>
    <t>Emergency Service Calls - Fire &amp; Ambulance</t>
  </si>
  <si>
    <r>
      <t xml:space="preserve">Population * </t>
    </r>
    <r>
      <rPr>
        <sz val="10"/>
        <color indexed="17"/>
        <rFont val="Times New Roman"/>
        <family val="1"/>
      </rPr>
      <t>0.08 [Annual service calls per person]</t>
    </r>
  </si>
  <si>
    <t>Emergency Service Calls  - Police</t>
  </si>
  <si>
    <r>
      <t xml:space="preserve">Population * </t>
    </r>
    <r>
      <rPr>
        <sz val="10"/>
        <color indexed="17"/>
        <rFont val="Times New Roman"/>
        <family val="1"/>
      </rPr>
      <t>1.28 [Annual service calls per person]</t>
    </r>
  </si>
  <si>
    <t>From Landuse</t>
  </si>
  <si>
    <t>Calculation</t>
  </si>
  <si>
    <t>From buildout</t>
  </si>
  <si>
    <t>Persons Per Household From 2000 census</t>
  </si>
  <si>
    <t>Square Miles</t>
  </si>
  <si>
    <t>Percentage of Dwelling Units within ½ mile of a community center point.</t>
  </si>
  <si>
    <t>Average Distance from all Dwelling Units to Community center points.</t>
  </si>
  <si>
    <t>Average Distance from all Dwelling Units to Amenity points.</t>
  </si>
  <si>
    <t>Average Distance from all Dwelling Units to Transit stop points.</t>
  </si>
  <si>
    <t>Average Distance from all Commercial Jobs [by location] to Transit stop points.</t>
  </si>
  <si>
    <t>Average Distance from all Dwelling Units to Recreation Land Uses.</t>
  </si>
  <si>
    <t>Manual Calculate</t>
  </si>
  <si>
    <t>Total Acres</t>
  </si>
  <si>
    <t>Town Scenario A</t>
  </si>
  <si>
    <t>Town Scenario B</t>
  </si>
  <si>
    <t>.</t>
  </si>
  <si>
    <t>N/A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</si>
</sst>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00_);_(* \(#,##0.000\);_(* &quot;-&quot;??_);_(@_)"/>
    <numFmt numFmtId="166" formatCode="_(* #,##0.0_);_(* \(#,##0.0\);_(* &quot;-&quot;??_);_(@_)"/>
    <numFmt numFmtId="167" formatCode="_(* #,##0_);_(* \(#,##0\);_(* &quot;-&quot;??_);_(@_)"/>
    <numFmt numFmtId="168" formatCode="_(* #,##0.000_);_(* \(#,##0.000\);_(* &quot;-&quot;???_);_(@_)"/>
    <numFmt numFmtId="169" formatCode="_(* #,##0.0_);_(* \(#,##0.0\);_(*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s>
  <fonts count="47">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name val="Times New Roman"/>
      <family val="1"/>
    </font>
    <font>
      <sz val="10"/>
      <color indexed="12"/>
      <name val="Times New Roman"/>
      <family val="1"/>
    </font>
    <font>
      <sz val="10"/>
      <name val="Times New Roman"/>
      <family val="1"/>
    </font>
    <font>
      <sz val="10"/>
      <color indexed="1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Times New Roman"/>
      <family val="1"/>
    </font>
    <font>
      <sz val="10"/>
      <color rgb="FF008000"/>
      <name val="Times New Roman"/>
      <family val="1"/>
    </font>
    <font>
      <sz val="10"/>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6">
    <xf numFmtId="0" fontId="0" fillId="0" borderId="0" xfId="0" applyAlignment="1">
      <alignment/>
    </xf>
    <xf numFmtId="0" fontId="1" fillId="0" borderId="10" xfId="0" applyFont="1" applyBorder="1" applyAlignment="1">
      <alignment horizontal="center" wrapText="1"/>
    </xf>
    <xf numFmtId="0" fontId="0" fillId="0" borderId="10" xfId="0" applyBorder="1" applyAlignment="1">
      <alignment horizontal="center" vertical="center"/>
    </xf>
    <xf numFmtId="0" fontId="0" fillId="0" borderId="10" xfId="0" applyBorder="1" applyAlignment="1">
      <alignment horizontal="center"/>
    </xf>
    <xf numFmtId="0" fontId="1" fillId="33" borderId="10" xfId="0" applyFont="1" applyFill="1" applyBorder="1" applyAlignment="1">
      <alignment horizontal="center" wrapText="1"/>
    </xf>
    <xf numFmtId="0" fontId="1" fillId="34" borderId="10" xfId="0" applyFont="1" applyFill="1" applyBorder="1" applyAlignment="1">
      <alignment horizontal="center" wrapText="1"/>
    </xf>
    <xf numFmtId="0" fontId="1" fillId="35" borderId="10" xfId="0" applyFont="1" applyFill="1" applyBorder="1" applyAlignment="1">
      <alignment horizontal="center" wrapText="1"/>
    </xf>
    <xf numFmtId="0" fontId="0" fillId="36" borderId="10" xfId="0" applyFill="1" applyBorder="1" applyAlignment="1">
      <alignment horizontal="center" vertical="center"/>
    </xf>
    <xf numFmtId="0" fontId="0" fillId="36" borderId="10" xfId="0" applyFill="1" applyBorder="1" applyAlignment="1">
      <alignment horizontal="center"/>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44" fillId="0" borderId="13" xfId="0" applyFont="1" applyBorder="1" applyAlignment="1">
      <alignment vertical="top" wrapText="1"/>
    </xf>
    <xf numFmtId="0" fontId="7" fillId="0" borderId="13" xfId="0" applyFont="1" applyBorder="1" applyAlignment="1">
      <alignment wrapText="1"/>
    </xf>
    <xf numFmtId="0" fontId="45" fillId="0" borderId="13" xfId="0" applyFont="1" applyBorder="1" applyAlignment="1">
      <alignment wrapText="1"/>
    </xf>
    <xf numFmtId="0" fontId="44" fillId="0" borderId="13" xfId="0" applyFont="1" applyBorder="1" applyAlignment="1">
      <alignment wrapText="1"/>
    </xf>
    <xf numFmtId="0" fontId="46" fillId="0" borderId="14" xfId="0" applyFont="1" applyBorder="1" applyAlignment="1">
      <alignment horizontal="center" wrapText="1"/>
    </xf>
    <xf numFmtId="0" fontId="0" fillId="0" borderId="0" xfId="0" applyFont="1" applyAlignment="1">
      <alignment/>
    </xf>
    <xf numFmtId="0" fontId="5" fillId="0" borderId="15" xfId="0" applyFont="1" applyFill="1" applyBorder="1" applyAlignment="1">
      <alignment horizontal="center" vertical="top" wrapText="1"/>
    </xf>
    <xf numFmtId="0" fontId="33" fillId="29" borderId="13" xfId="48" applyBorder="1" applyAlignment="1">
      <alignment wrapText="1"/>
    </xf>
    <xf numFmtId="0" fontId="33" fillId="29" borderId="13" xfId="48" applyBorder="1" applyAlignment="1">
      <alignment vertical="top" wrapText="1"/>
    </xf>
    <xf numFmtId="0" fontId="33" fillId="29" borderId="0" xfId="48" applyAlignment="1">
      <alignment/>
    </xf>
    <xf numFmtId="174" fontId="0" fillId="0" borderId="0" xfId="0" applyNumberFormat="1" applyAlignment="1">
      <alignment/>
    </xf>
    <xf numFmtId="0" fontId="29" fillId="26" borderId="13" xfId="39" applyBorder="1" applyAlignment="1">
      <alignment vertical="top" wrapText="1"/>
    </xf>
    <xf numFmtId="0" fontId="29" fillId="26" borderId="13" xfId="39" applyBorder="1" applyAlignment="1">
      <alignment wrapText="1"/>
    </xf>
    <xf numFmtId="0" fontId="29" fillId="26" borderId="0" xfId="39" applyAlignment="1">
      <alignment/>
    </xf>
    <xf numFmtId="0" fontId="7" fillId="0" borderId="15" xfId="0" applyFont="1" applyFill="1" applyBorder="1" applyAlignment="1">
      <alignment wrapText="1"/>
    </xf>
    <xf numFmtId="167" fontId="0" fillId="0" borderId="10" xfId="42" applyNumberFormat="1" applyFont="1" applyBorder="1" applyAlignment="1">
      <alignment horizontal="right"/>
    </xf>
    <xf numFmtId="9" fontId="0" fillId="33" borderId="10" xfId="59" applyNumberFormat="1" applyFont="1" applyFill="1" applyBorder="1" applyAlignment="1">
      <alignment horizontal="right"/>
    </xf>
    <xf numFmtId="9" fontId="0" fillId="34" borderId="10" xfId="59" applyFont="1" applyFill="1" applyBorder="1" applyAlignment="1">
      <alignment horizontal="right"/>
    </xf>
    <xf numFmtId="9" fontId="0" fillId="35" borderId="10" xfId="59" applyFont="1" applyFill="1" applyBorder="1" applyAlignment="1">
      <alignment horizontal="right"/>
    </xf>
    <xf numFmtId="0" fontId="0" fillId="36" borderId="10" xfId="0" applyFill="1" applyBorder="1" applyAlignment="1">
      <alignment horizontal="right"/>
    </xf>
    <xf numFmtId="9" fontId="0" fillId="36" borderId="10" xfId="59" applyNumberFormat="1" applyFont="1" applyFill="1" applyBorder="1" applyAlignment="1">
      <alignment horizontal="right"/>
    </xf>
    <xf numFmtId="9" fontId="0" fillId="36" borderId="10" xfId="59" applyFont="1" applyFill="1" applyBorder="1" applyAlignment="1">
      <alignment horizontal="right"/>
    </xf>
    <xf numFmtId="9" fontId="0" fillId="37" borderId="10" xfId="59" applyFont="1" applyFill="1" applyBorder="1" applyAlignment="1">
      <alignment horizontal="right"/>
    </xf>
    <xf numFmtId="3" fontId="0" fillId="0" borderId="10" xfId="0" applyNumberFormat="1" applyBorder="1" applyAlignment="1">
      <alignment horizontal="right"/>
    </xf>
    <xf numFmtId="43" fontId="0" fillId="0" borderId="10" xfId="0" applyNumberFormat="1" applyBorder="1" applyAlignment="1">
      <alignment horizontal="right"/>
    </xf>
    <xf numFmtId="2" fontId="0" fillId="0" borderId="10" xfId="0" applyNumberFormat="1" applyBorder="1" applyAlignment="1">
      <alignment horizontal="right"/>
    </xf>
    <xf numFmtId="4" fontId="0" fillId="0" borderId="10" xfId="0" applyNumberFormat="1" applyBorder="1" applyAlignment="1">
      <alignment horizontal="right"/>
    </xf>
    <xf numFmtId="1" fontId="0" fillId="0" borderId="10" xfId="0" applyNumberFormat="1" applyBorder="1" applyAlignment="1">
      <alignment horizontal="right"/>
    </xf>
    <xf numFmtId="43" fontId="0" fillId="35" borderId="10" xfId="59" applyNumberFormat="1" applyFont="1" applyFill="1" applyBorder="1" applyAlignment="1">
      <alignment horizontal="right"/>
    </xf>
    <xf numFmtId="0" fontId="0" fillId="0" borderId="10" xfId="0" applyBorder="1" applyAlignment="1">
      <alignment horizontal="center" vertical="center"/>
    </xf>
    <xf numFmtId="0" fontId="0" fillId="0" borderId="10" xfId="0"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4" xfId="0" applyFont="1" applyBorder="1" applyAlignment="1">
      <alignment horizontal="center" vertical="center" wrapText="1"/>
    </xf>
    <xf numFmtId="0" fontId="45" fillId="0" borderId="16" xfId="0" applyFont="1" applyBorder="1" applyAlignment="1">
      <alignment wrapText="1"/>
    </xf>
    <xf numFmtId="0" fontId="45" fillId="0" borderId="17" xfId="0" applyFont="1" applyBorder="1" applyAlignment="1">
      <alignment wrapText="1"/>
    </xf>
    <xf numFmtId="0" fontId="45" fillId="0" borderId="14" xfId="0" applyFont="1" applyBorder="1" applyAlignment="1">
      <alignment wrapText="1"/>
    </xf>
    <xf numFmtId="174" fontId="29" fillId="26" borderId="0" xfId="39" applyNumberFormat="1" applyAlignment="1">
      <alignment/>
    </xf>
    <xf numFmtId="0" fontId="0" fillId="0" borderId="10" xfId="0" applyFont="1" applyBorder="1" applyAlignment="1">
      <alignment horizontal="right"/>
    </xf>
    <xf numFmtId="9" fontId="0" fillId="33" borderId="10" xfId="59" applyNumberFormat="1" applyFont="1" applyFill="1" applyBorder="1" applyAlignment="1">
      <alignment horizontal="right"/>
    </xf>
    <xf numFmtId="9" fontId="0" fillId="34" borderId="10" xfId="59" applyFont="1" applyFill="1" applyBorder="1" applyAlignment="1">
      <alignment horizontal="right"/>
    </xf>
    <xf numFmtId="9" fontId="0" fillId="35" borderId="10" xfId="59" applyFont="1" applyFill="1" applyBorder="1" applyAlignment="1">
      <alignment horizontal="right"/>
    </xf>
    <xf numFmtId="174" fontId="0" fillId="33" borderId="10" xfId="59" applyNumberFormat="1" applyFont="1" applyFill="1" applyBorder="1" applyAlignment="1">
      <alignment horizontal="right"/>
    </xf>
    <xf numFmtId="174" fontId="0" fillId="34" borderId="10" xfId="59" applyNumberFormat="1" applyFont="1" applyFill="1" applyBorder="1" applyAlignment="1">
      <alignment horizontal="right"/>
    </xf>
    <xf numFmtId="174" fontId="0" fillId="35" borderId="10" xfId="59"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0"/>
  <sheetViews>
    <sheetView tabSelected="1" zoomScale="95" zoomScaleNormal="95" zoomScalePageLayoutView="0" workbookViewId="0" topLeftCell="A1">
      <selection activeCell="O27" sqref="O27"/>
    </sheetView>
  </sheetViews>
  <sheetFormatPr defaultColWidth="9.140625" defaultRowHeight="12.75"/>
  <cols>
    <col min="1" max="1" width="22.8515625" style="0" customWidth="1"/>
    <col min="2" max="2" width="36.421875" style="0" customWidth="1"/>
    <col min="3" max="3" width="11.421875" style="0" customWidth="1"/>
    <col min="4" max="4" width="11.28125" style="0" customWidth="1"/>
    <col min="5" max="5" width="11.7109375" style="0" customWidth="1"/>
    <col min="6" max="6" width="8.57421875" style="0" customWidth="1"/>
    <col min="7" max="7" width="12.421875" style="0" customWidth="1"/>
    <col min="8" max="8" width="8.8515625" style="0" customWidth="1"/>
    <col min="9" max="9" width="11.28125" style="0" customWidth="1"/>
    <col min="10" max="10" width="8.57421875" style="0" customWidth="1"/>
    <col min="11" max="11" width="11.8515625" style="0" customWidth="1"/>
    <col min="12" max="12" width="12.28125" style="0" bestFit="1" customWidth="1"/>
  </cols>
  <sheetData>
    <row r="1" spans="1:12" ht="42.75" customHeight="1">
      <c r="A1" s="1" t="s">
        <v>0</v>
      </c>
      <c r="B1" s="1" t="s">
        <v>6</v>
      </c>
      <c r="C1" s="1" t="s">
        <v>10</v>
      </c>
      <c r="D1" s="1" t="s">
        <v>1</v>
      </c>
      <c r="E1" s="4" t="s">
        <v>2</v>
      </c>
      <c r="F1" s="4" t="s">
        <v>5</v>
      </c>
      <c r="G1" s="5" t="s">
        <v>3</v>
      </c>
      <c r="H1" s="5" t="s">
        <v>5</v>
      </c>
      <c r="I1" s="6" t="s">
        <v>143</v>
      </c>
      <c r="J1" s="6" t="s">
        <v>5</v>
      </c>
      <c r="K1" s="6" t="s">
        <v>144</v>
      </c>
      <c r="L1" s="6" t="s">
        <v>5</v>
      </c>
    </row>
    <row r="2" spans="1:12" ht="12.75">
      <c r="A2" s="40" t="s">
        <v>4</v>
      </c>
      <c r="B2" s="3" t="s">
        <v>7</v>
      </c>
      <c r="C2" s="3" t="s">
        <v>12</v>
      </c>
      <c r="D2" s="26">
        <f>Existing!E5</f>
        <v>5855</v>
      </c>
      <c r="E2" s="26">
        <f>'Base Scenario'!E5</f>
        <v>11142.5</v>
      </c>
      <c r="F2" s="27">
        <f>(E2-D2)/D2</f>
        <v>0.9030742954739539</v>
      </c>
      <c r="G2" s="26">
        <f>'Std Alt'!E5</f>
        <v>11201</v>
      </c>
      <c r="H2" s="28">
        <f>(G2-D2)/D2</f>
        <v>0.913065755764304</v>
      </c>
      <c r="I2" s="26">
        <f>'Community Scenario A'!E5</f>
        <v>11107</v>
      </c>
      <c r="J2" s="29">
        <f>(I2-D2)/D2</f>
        <v>0.8970111016225448</v>
      </c>
      <c r="K2" s="26">
        <f>'Community Scenario B'!E5</f>
        <v>11160.2</v>
      </c>
      <c r="L2" s="29">
        <f>(K2-D2)/D2</f>
        <v>0.9060973526900087</v>
      </c>
    </row>
    <row r="3" spans="1:12" ht="12.75">
      <c r="A3" s="40"/>
      <c r="B3" s="3" t="s">
        <v>8</v>
      </c>
      <c r="C3" s="3" t="s">
        <v>12</v>
      </c>
      <c r="D3" s="26">
        <f>Existing!E6</f>
        <v>220.5</v>
      </c>
      <c r="E3" s="26">
        <f>'Base Scenario'!E6</f>
        <v>1029</v>
      </c>
      <c r="F3" s="27">
        <f aca="true" t="shared" si="0" ref="F3:F37">(E3-D3)/D3</f>
        <v>3.6666666666666665</v>
      </c>
      <c r="G3" s="26">
        <f>'Std Alt'!E6</f>
        <v>969.5</v>
      </c>
      <c r="H3" s="28">
        <f aca="true" t="shared" si="1" ref="H3:H37">(G3-D3)/D3</f>
        <v>3.3968253968253967</v>
      </c>
      <c r="I3" s="26">
        <f>'Community Scenario A'!E6</f>
        <v>1063.5</v>
      </c>
      <c r="J3" s="29">
        <f aca="true" t="shared" si="2" ref="J3:J37">(I3-D3)/D3</f>
        <v>3.82312925170068</v>
      </c>
      <c r="K3" s="26">
        <f>'Community Scenario B'!E6</f>
        <v>1010.88</v>
      </c>
      <c r="L3" s="29">
        <f>(K3-D3)/D3</f>
        <v>3.5844897959183672</v>
      </c>
    </row>
    <row r="4" spans="1:12" ht="12.75">
      <c r="A4" s="40"/>
      <c r="B4" s="3" t="s">
        <v>9</v>
      </c>
      <c r="C4" s="3" t="s">
        <v>13</v>
      </c>
      <c r="D4" s="26">
        <f>Existing!E2</f>
        <v>4990</v>
      </c>
      <c r="E4" s="26">
        <f>'Base Scenario'!E2</f>
        <v>6504</v>
      </c>
      <c r="F4" s="27">
        <f t="shared" si="0"/>
        <v>0.3034068136272545</v>
      </c>
      <c r="G4" s="26">
        <f>'Std Alt'!E2</f>
        <v>6525</v>
      </c>
      <c r="H4" s="28">
        <f t="shared" si="1"/>
        <v>0.3076152304609218</v>
      </c>
      <c r="I4" s="26">
        <f>'Community Scenario A'!E2</f>
        <v>6522</v>
      </c>
      <c r="J4" s="29">
        <f t="shared" si="2"/>
        <v>0.3070140280561122</v>
      </c>
      <c r="K4" s="26">
        <f>'Community Scenario B'!E2</f>
        <v>6673</v>
      </c>
      <c r="L4" s="29">
        <f>(K4-D4)/D4</f>
        <v>0.3372745490981964</v>
      </c>
    </row>
    <row r="5" spans="1:12" ht="12.75">
      <c r="A5" s="40"/>
      <c r="B5" s="3" t="s">
        <v>11</v>
      </c>
      <c r="C5" s="3" t="s">
        <v>14</v>
      </c>
      <c r="D5" s="26">
        <f>Existing!E4</f>
        <v>1365458</v>
      </c>
      <c r="E5" s="26">
        <f>'Base Scenario'!E4</f>
        <v>4286930</v>
      </c>
      <c r="F5" s="27">
        <f t="shared" si="0"/>
        <v>2.1395546402745453</v>
      </c>
      <c r="G5" s="26">
        <f>'Std Alt'!E4</f>
        <v>4251580</v>
      </c>
      <c r="H5" s="28">
        <f t="shared" si="1"/>
        <v>2.1136658908585986</v>
      </c>
      <c r="I5" s="26">
        <f>'Community Scenario A'!E4</f>
        <v>4255770</v>
      </c>
      <c r="J5" s="29">
        <f t="shared" si="2"/>
        <v>2.116734458328268</v>
      </c>
      <c r="K5" s="26">
        <f>'Community Scenario B'!E4</f>
        <v>4250202</v>
      </c>
      <c r="L5" s="29">
        <f>(K5-D5)/D5</f>
        <v>2.1126567056621295</v>
      </c>
    </row>
    <row r="6" spans="1:12" ht="4.5" customHeight="1">
      <c r="A6" s="7"/>
      <c r="B6" s="8"/>
      <c r="C6" s="8"/>
      <c r="D6" s="30"/>
      <c r="E6" s="30"/>
      <c r="F6" s="31"/>
      <c r="G6" s="30"/>
      <c r="H6" s="32"/>
      <c r="I6" s="30"/>
      <c r="J6" s="33"/>
      <c r="K6" s="30"/>
      <c r="L6" s="33"/>
    </row>
    <row r="7" spans="1:12" ht="12.75">
      <c r="A7" s="41" t="s">
        <v>15</v>
      </c>
      <c r="B7" s="3" t="s">
        <v>16</v>
      </c>
      <c r="C7" s="3" t="s">
        <v>20</v>
      </c>
      <c r="D7" s="34">
        <f>Existing!E10</f>
        <v>13273.400000000001</v>
      </c>
      <c r="E7" s="34">
        <f>'Base Scenario'!E10</f>
        <v>17300.64</v>
      </c>
      <c r="F7" s="27">
        <f t="shared" si="0"/>
        <v>0.3034068136272543</v>
      </c>
      <c r="G7" s="34">
        <f>'Std Alt'!E10</f>
        <v>17356.5</v>
      </c>
      <c r="H7" s="28">
        <f t="shared" si="1"/>
        <v>0.3076152304609217</v>
      </c>
      <c r="I7" s="34">
        <f>'Community Scenario A'!E10</f>
        <v>17348.52</v>
      </c>
      <c r="J7" s="29">
        <f t="shared" si="2"/>
        <v>0.3070140280561121</v>
      </c>
      <c r="K7" s="34">
        <f>'Community Scenario B'!E10</f>
        <v>17750.18</v>
      </c>
      <c r="L7" s="29">
        <f>(K7-D7)/D7</f>
        <v>0.33727454909819626</v>
      </c>
    </row>
    <row r="8" spans="1:12" ht="12.75">
      <c r="A8" s="40"/>
      <c r="B8" s="3" t="s">
        <v>67</v>
      </c>
      <c r="C8" s="3" t="s">
        <v>17</v>
      </c>
      <c r="D8" s="34">
        <f>Existing!E11</f>
        <v>2508.6726000000003</v>
      </c>
      <c r="E8" s="34">
        <f>'Base Scenario'!E11</f>
        <v>3269.82096</v>
      </c>
      <c r="F8" s="27">
        <f t="shared" si="0"/>
        <v>0.30340681362725436</v>
      </c>
      <c r="G8" s="34">
        <f>'Std Alt'!E11</f>
        <v>3280.3785</v>
      </c>
      <c r="H8" s="28">
        <f t="shared" si="1"/>
        <v>0.3076152304609216</v>
      </c>
      <c r="I8" s="34">
        <f>'Community Scenario A'!E11</f>
        <v>3278.87028</v>
      </c>
      <c r="J8" s="29">
        <f t="shared" si="2"/>
        <v>0.3070140280561121</v>
      </c>
      <c r="K8" s="34">
        <f>'Community Scenario B'!E11</f>
        <v>3354.78402</v>
      </c>
      <c r="L8" s="29">
        <f>(K8-D8)/D8</f>
        <v>0.33727454909819626</v>
      </c>
    </row>
    <row r="9" spans="1:12" ht="12.75">
      <c r="A9" s="40"/>
      <c r="B9" s="3" t="s">
        <v>18</v>
      </c>
      <c r="C9" s="3" t="s">
        <v>19</v>
      </c>
      <c r="D9" s="34">
        <f>Existing!E12</f>
        <v>5427.49326</v>
      </c>
      <c r="E9" s="34">
        <f>'Base Scenario'!E12</f>
        <v>7074.231696</v>
      </c>
      <c r="F9" s="27">
        <f t="shared" si="0"/>
        <v>0.3034068136272544</v>
      </c>
      <c r="G9" s="34">
        <f>'Std Alt'!E12</f>
        <v>7097.07285</v>
      </c>
      <c r="H9" s="28">
        <f t="shared" si="1"/>
        <v>0.3076152304609217</v>
      </c>
      <c r="I9" s="34">
        <f>'Community Scenario A'!E12</f>
        <v>7093.809828</v>
      </c>
      <c r="J9" s="29">
        <f t="shared" si="2"/>
        <v>0.3070140280561123</v>
      </c>
      <c r="K9" s="34">
        <f>'Community Scenario B'!E12</f>
        <v>7258.048602</v>
      </c>
      <c r="L9" s="29">
        <f>(K9-D9)/D9</f>
        <v>0.3372745490981963</v>
      </c>
    </row>
    <row r="10" spans="1:12" ht="12.75">
      <c r="A10" s="40"/>
      <c r="B10" s="3" t="s">
        <v>21</v>
      </c>
      <c r="C10" s="3" t="s">
        <v>22</v>
      </c>
      <c r="D10" s="34">
        <f>Existing!E13</f>
        <v>1659.1227217496962</v>
      </c>
      <c r="E10" s="34">
        <f>'Base Scenario'!E13</f>
        <v>5208.906439854192</v>
      </c>
      <c r="F10" s="27">
        <f t="shared" si="0"/>
        <v>2.1395546402745453</v>
      </c>
      <c r="G10" s="34">
        <f>'Std Alt'!E13</f>
        <v>5165.95382746051</v>
      </c>
      <c r="H10" s="28">
        <f t="shared" si="1"/>
        <v>2.113665890858598</v>
      </c>
      <c r="I10" s="34">
        <f>'Community Scenario A'!E13</f>
        <v>5171.044957472661</v>
      </c>
      <c r="J10" s="29">
        <f t="shared" si="2"/>
        <v>2.116734458328268</v>
      </c>
      <c r="K10" s="34">
        <f>'Community Scenario B'!E13</f>
        <v>5164.279465370595</v>
      </c>
      <c r="L10" s="29">
        <f>(K10-D10)/D10</f>
        <v>2.1126567056621295</v>
      </c>
    </row>
    <row r="11" spans="1:12" ht="12.75">
      <c r="A11" s="40"/>
      <c r="B11" s="3" t="s">
        <v>23</v>
      </c>
      <c r="C11" s="3" t="s">
        <v>24</v>
      </c>
      <c r="D11" s="35">
        <f>Existing!E14</f>
        <v>0.3324895233967327</v>
      </c>
      <c r="E11" s="35">
        <f>'Base Scenario'!E14</f>
        <v>0.8008773739013211</v>
      </c>
      <c r="F11" s="27">
        <f t="shared" si="0"/>
        <v>1.4087296517481522</v>
      </c>
      <c r="G11" s="35">
        <f>'Std Alt'!E14</f>
        <v>0.7917170616797716</v>
      </c>
      <c r="H11" s="28">
        <f t="shared" si="1"/>
        <v>1.3811789724727057</v>
      </c>
      <c r="I11" s="35">
        <f>'Community Scenario A'!E14</f>
        <v>0.7928618456719811</v>
      </c>
      <c r="J11" s="29">
        <f t="shared" si="2"/>
        <v>1.3846220403339553</v>
      </c>
      <c r="K11" s="35">
        <f>'Community Scenario B'!E14</f>
        <v>0.7739067084325784</v>
      </c>
      <c r="L11" s="39">
        <f>(K11-D11)/D11</f>
        <v>1.3276123124912373</v>
      </c>
    </row>
    <row r="12" spans="1:12" ht="5.25" customHeight="1">
      <c r="A12" s="7"/>
      <c r="B12" s="8"/>
      <c r="C12" s="8"/>
      <c r="D12" s="30"/>
      <c r="E12" s="30"/>
      <c r="F12" s="31"/>
      <c r="G12" s="30"/>
      <c r="H12" s="32"/>
      <c r="I12" s="30"/>
      <c r="J12" s="33"/>
      <c r="K12" s="30"/>
      <c r="L12" s="33"/>
    </row>
    <row r="13" spans="1:12" ht="12.75">
      <c r="A13" s="41" t="s">
        <v>26</v>
      </c>
      <c r="B13" s="2" t="s">
        <v>25</v>
      </c>
      <c r="C13" s="3" t="s">
        <v>12</v>
      </c>
      <c r="D13" s="34">
        <f>Existing!E9</f>
        <v>3569.7</v>
      </c>
      <c r="E13" s="34">
        <f>'Base Scenario'!E9</f>
        <v>3569.7</v>
      </c>
      <c r="F13" s="27">
        <f t="shared" si="0"/>
        <v>0</v>
      </c>
      <c r="G13" s="34">
        <f>'Std Alt'!E9</f>
        <v>3569.7</v>
      </c>
      <c r="H13" s="28">
        <f t="shared" si="1"/>
        <v>0</v>
      </c>
      <c r="I13" s="34">
        <f>'Community Scenario A'!E9</f>
        <v>3569.7</v>
      </c>
      <c r="J13" s="29">
        <f t="shared" si="2"/>
        <v>0</v>
      </c>
      <c r="K13" s="34">
        <f>'Community Scenario B'!E9</f>
        <v>3569.7</v>
      </c>
      <c r="L13" s="29">
        <f>(K13-D13)/D13</f>
        <v>0</v>
      </c>
    </row>
    <row r="14" spans="1:12" ht="12.75">
      <c r="A14" s="41"/>
      <c r="B14" s="3" t="s">
        <v>27</v>
      </c>
      <c r="C14" s="3" t="s">
        <v>28</v>
      </c>
      <c r="D14" s="49" t="s">
        <v>146</v>
      </c>
      <c r="E14" s="49" t="s">
        <v>146</v>
      </c>
      <c r="F14" s="50" t="s">
        <v>146</v>
      </c>
      <c r="G14" s="49" t="s">
        <v>146</v>
      </c>
      <c r="H14" s="51" t="s">
        <v>146</v>
      </c>
      <c r="I14" s="49" t="s">
        <v>146</v>
      </c>
      <c r="J14" s="52" t="s">
        <v>146</v>
      </c>
      <c r="K14" s="49" t="s">
        <v>146</v>
      </c>
      <c r="L14" s="52" t="s">
        <v>146</v>
      </c>
    </row>
    <row r="15" spans="1:12" ht="5.25" customHeight="1">
      <c r="A15" s="7"/>
      <c r="B15" s="8"/>
      <c r="C15" s="8"/>
      <c r="D15" s="30"/>
      <c r="E15" s="30"/>
      <c r="F15" s="31"/>
      <c r="G15" s="30"/>
      <c r="H15" s="32"/>
      <c r="I15" s="30"/>
      <c r="J15" s="33"/>
      <c r="K15" s="30"/>
      <c r="L15" s="33"/>
    </row>
    <row r="16" spans="1:12" ht="12.75">
      <c r="A16" s="40" t="s">
        <v>34</v>
      </c>
      <c r="B16" s="3" t="s">
        <v>29</v>
      </c>
      <c r="C16" s="3" t="s">
        <v>30</v>
      </c>
      <c r="D16" s="36">
        <f>Existing!E26</f>
        <v>476.7744252873564</v>
      </c>
      <c r="E16" s="36">
        <f>'Base Scenario'!E26</f>
        <v>621.4310344827586</v>
      </c>
      <c r="F16" s="27">
        <f>(E16-D16)/D16</f>
        <v>0.3034068136272543</v>
      </c>
      <c r="G16" s="36">
        <f>'Std Alt'!E26</f>
        <v>623.4375</v>
      </c>
      <c r="H16" s="28">
        <f>(G16-D16)/D16</f>
        <v>0.30761523046092165</v>
      </c>
      <c r="I16" s="36">
        <f>'Community Scenario A'!E26</f>
        <v>623.1508620689656</v>
      </c>
      <c r="J16" s="29">
        <f>(I16-D16)/D16</f>
        <v>0.30701402805611216</v>
      </c>
      <c r="K16" s="36">
        <f>'Community Scenario B'!E26</f>
        <v>637.5783045977012</v>
      </c>
      <c r="L16" s="29">
        <f aca="true" t="shared" si="3" ref="L16:L24">(K16-D16)/D16</f>
        <v>0.3372745490981962</v>
      </c>
    </row>
    <row r="17" spans="1:12" ht="12.75">
      <c r="A17" s="40"/>
      <c r="B17" s="3" t="s">
        <v>31</v>
      </c>
      <c r="C17" s="3" t="s">
        <v>32</v>
      </c>
      <c r="D17" s="36">
        <f>Existing!E27</f>
        <v>0.852263023057216</v>
      </c>
      <c r="E17" s="36">
        <f>'Base Scenario'!E27</f>
        <v>0.5837110163787301</v>
      </c>
      <c r="F17" s="27">
        <f t="shared" si="0"/>
        <v>-0.31510460903858417</v>
      </c>
      <c r="G17" s="36">
        <f>'Std Alt'!E27</f>
        <v>0.582537273457727</v>
      </c>
      <c r="H17" s="28">
        <f t="shared" si="1"/>
        <v>-0.31648181641382933</v>
      </c>
      <c r="I17" s="36">
        <f>'Community Scenario A'!E27</f>
        <v>0.5871972629873053</v>
      </c>
      <c r="J17" s="29">
        <f t="shared" si="2"/>
        <v>-0.31101403310808157</v>
      </c>
      <c r="K17" s="36">
        <f>'Community Scenario B'!E27</f>
        <v>0.597928352538485</v>
      </c>
      <c r="L17" s="29">
        <f t="shared" si="3"/>
        <v>-0.2984227446667676</v>
      </c>
    </row>
    <row r="18" spans="1:12" ht="12.75">
      <c r="A18" s="40"/>
      <c r="B18" s="3" t="s">
        <v>111</v>
      </c>
      <c r="C18" s="3" t="s">
        <v>33</v>
      </c>
      <c r="D18" s="36">
        <f>Existing!E25</f>
        <v>0.45771995118055653</v>
      </c>
      <c r="E18" s="36">
        <f>'Base Scenario'!E25</f>
        <v>0.6907836935512213</v>
      </c>
      <c r="F18" s="27">
        <f t="shared" si="0"/>
        <v>0.5091841458287848</v>
      </c>
      <c r="G18" s="36">
        <f>'Std Alt'!E25</f>
        <v>0.6885028663613055</v>
      </c>
      <c r="H18" s="28">
        <f t="shared" si="1"/>
        <v>0.5042011268801175</v>
      </c>
      <c r="I18" s="36">
        <f>'Community Scenario A'!E25</f>
        <v>0.6888195650118857</v>
      </c>
      <c r="J18" s="29">
        <f t="shared" si="2"/>
        <v>0.5048930317222887</v>
      </c>
      <c r="K18" s="36">
        <f>'Community Scenario B'!E25</f>
        <v>0.6732652851971078</v>
      </c>
      <c r="L18" s="29">
        <f t="shared" si="3"/>
        <v>0.4709109433849547</v>
      </c>
    </row>
    <row r="19" spans="1:12" ht="12.75">
      <c r="A19" s="40"/>
      <c r="B19" s="3" t="s">
        <v>35</v>
      </c>
      <c r="C19" s="3" t="s">
        <v>36</v>
      </c>
      <c r="D19" s="36">
        <f>Existing!E35</f>
        <v>0.017486100019588047</v>
      </c>
      <c r="E19" s="36">
        <f>'Base Scenario'!E35</f>
        <v>0.013415688668164878</v>
      </c>
      <c r="F19" s="27">
        <f t="shared" si="0"/>
        <v>-0.2327798277982779</v>
      </c>
      <c r="G19" s="36">
        <f>'Std Alt'!E35</f>
        <v>0.01337251173911791</v>
      </c>
      <c r="H19" s="28">
        <f t="shared" si="1"/>
        <v>-0.23524904214559386</v>
      </c>
      <c r="I19" s="36">
        <f>'Community Scenario A'!E35</f>
        <v>0.013378662848473529</v>
      </c>
      <c r="J19" s="29">
        <f t="shared" si="2"/>
        <v>-0.23489727077583564</v>
      </c>
      <c r="K19" s="36">
        <f>'Community Scenario B'!E35</f>
        <v>0.013075923737111398</v>
      </c>
      <c r="L19" s="29">
        <f t="shared" si="3"/>
        <v>-0.2522104001198861</v>
      </c>
    </row>
    <row r="20" spans="1:12" ht="12.75">
      <c r="A20" s="40"/>
      <c r="B20" s="3" t="s">
        <v>37</v>
      </c>
      <c r="C20" s="3" t="s">
        <v>38</v>
      </c>
      <c r="D20" s="36">
        <f>Existing!E34/5280</f>
        <v>0.5568181818181818</v>
      </c>
      <c r="E20" s="36">
        <f>'Base Scenario'!E34/5280</f>
        <v>0.5541666666666667</v>
      </c>
      <c r="F20" s="53">
        <f t="shared" si="0"/>
        <v>-0.004761904761904618</v>
      </c>
      <c r="G20" s="36">
        <f>'Std Alt'!E34/5280</f>
        <v>0.5337121212121212</v>
      </c>
      <c r="H20" s="54">
        <f t="shared" si="1"/>
        <v>-0.04149659863945573</v>
      </c>
      <c r="I20" s="36">
        <f>'Community Scenario A'!E34/5280</f>
        <v>0.5541666666666667</v>
      </c>
      <c r="J20" s="55">
        <f t="shared" si="2"/>
        <v>-0.004761904761904618</v>
      </c>
      <c r="K20" s="36">
        <f>'Community Scenario B'!E34/5280</f>
        <v>0.5528409090909091</v>
      </c>
      <c r="L20" s="55">
        <f t="shared" si="3"/>
        <v>-0.007142857142857027</v>
      </c>
    </row>
    <row r="21" spans="1:12" ht="12.75">
      <c r="A21" s="40"/>
      <c r="B21" s="3" t="s">
        <v>39</v>
      </c>
      <c r="C21" s="3" t="s">
        <v>38</v>
      </c>
      <c r="D21" s="36">
        <f>Existing!E29/5280</f>
        <v>0.03314393939393939</v>
      </c>
      <c r="E21" s="36">
        <f>'Base Scenario'!E29/5280</f>
        <v>0.042045454545454546</v>
      </c>
      <c r="F21" s="53">
        <f t="shared" si="0"/>
        <v>0.2685714285714286</v>
      </c>
      <c r="G21" s="36">
        <f>'Std Alt'!E29/5280</f>
        <v>0.04734848484848485</v>
      </c>
      <c r="H21" s="54">
        <f t="shared" si="1"/>
        <v>0.42857142857142866</v>
      </c>
      <c r="I21" s="36">
        <f>'Community Scenario A'!E29/5280</f>
        <v>0.041856060606060605</v>
      </c>
      <c r="J21" s="55">
        <f t="shared" si="2"/>
        <v>0.2628571428571429</v>
      </c>
      <c r="K21" s="36">
        <f>'Community Scenario B'!E29/5280</f>
        <v>0.04375</v>
      </c>
      <c r="L21" s="55">
        <f t="shared" si="3"/>
        <v>0.32</v>
      </c>
    </row>
    <row r="22" spans="1:12" ht="12.75">
      <c r="A22" s="40"/>
      <c r="B22" s="3" t="s">
        <v>40</v>
      </c>
      <c r="C22" s="3" t="s">
        <v>38</v>
      </c>
      <c r="D22" s="36">
        <f>Existing!E31/5280</f>
        <v>0.6589015151515152</v>
      </c>
      <c r="E22" s="36">
        <f>'Base Scenario'!E31/5280</f>
        <v>0.6579545454545455</v>
      </c>
      <c r="F22" s="53">
        <f t="shared" si="0"/>
        <v>-0.0014371945961483593</v>
      </c>
      <c r="G22" s="36">
        <f>'Std Alt'!E31/5280</f>
        <v>0.6382575757575758</v>
      </c>
      <c r="H22" s="54">
        <f t="shared" si="1"/>
        <v>-0.03133084219603332</v>
      </c>
      <c r="I22" s="36">
        <f>'Community Scenario A'!E31/5280</f>
        <v>0.6566287878787879</v>
      </c>
      <c r="J22" s="55">
        <f t="shared" si="2"/>
        <v>-0.0034492670307560286</v>
      </c>
      <c r="K22" s="36">
        <f>'Community Scenario B'!E31/5280</f>
        <v>0.6505681818181818</v>
      </c>
      <c r="L22" s="55">
        <f t="shared" si="3"/>
        <v>-0.012647312446105325</v>
      </c>
    </row>
    <row r="23" spans="1:12" ht="12.75">
      <c r="A23" s="40"/>
      <c r="B23" s="3" t="s">
        <v>42</v>
      </c>
      <c r="C23" s="3" t="s">
        <v>38</v>
      </c>
      <c r="D23" s="36">
        <f>Existing!E32/5280</f>
        <v>2.170643939393939</v>
      </c>
      <c r="E23" s="36">
        <f>'Base Scenario'!E32/5280</f>
        <v>2.1560606060606062</v>
      </c>
      <c r="F23" s="53">
        <f t="shared" si="0"/>
        <v>-0.00671843643661094</v>
      </c>
      <c r="G23" s="36">
        <f>'Std Alt'!E32/5280</f>
        <v>2.1035984848484848</v>
      </c>
      <c r="H23" s="54">
        <f t="shared" si="1"/>
        <v>-0.030887357124160134</v>
      </c>
      <c r="I23" s="36">
        <f>'Community Scenario A'!E32/5280</f>
        <v>2.1571969696969697</v>
      </c>
      <c r="J23" s="55">
        <f t="shared" si="2"/>
        <v>-0.006194921909082867</v>
      </c>
      <c r="K23" s="36">
        <f>'Community Scenario B'!E32/5280</f>
        <v>2.1505681818181817</v>
      </c>
      <c r="L23" s="55">
        <f t="shared" si="3"/>
        <v>-0.009248756652997098</v>
      </c>
    </row>
    <row r="24" spans="1:12" ht="12.75">
      <c r="A24" s="40"/>
      <c r="B24" s="3" t="s">
        <v>43</v>
      </c>
      <c r="C24" s="3" t="s">
        <v>38</v>
      </c>
      <c r="D24" s="36">
        <f>Existing!E33/5280</f>
        <v>1.384659090909091</v>
      </c>
      <c r="E24" s="36">
        <f>'Base Scenario'!E33/5280</f>
        <v>1.7214015151515152</v>
      </c>
      <c r="F24" s="53">
        <f t="shared" si="0"/>
        <v>0.2431951853371631</v>
      </c>
      <c r="G24" s="36">
        <f>'Std Alt'!E33/5280</f>
        <v>1.6732954545454546</v>
      </c>
      <c r="H24" s="54">
        <f t="shared" si="1"/>
        <v>0.20845301600328267</v>
      </c>
      <c r="I24" s="36">
        <f>'Community Scenario A'!E33/5280</f>
        <v>1.7263257575757576</v>
      </c>
      <c r="J24" s="55">
        <f t="shared" si="2"/>
        <v>0.24675147038708786</v>
      </c>
      <c r="K24" s="36">
        <f>'Community Scenario B'!E33/5280</f>
        <v>1.7267045454545455</v>
      </c>
      <c r="L24" s="55">
        <f t="shared" si="3"/>
        <v>0.2470250307755437</v>
      </c>
    </row>
    <row r="25" spans="1:12" ht="5.25" customHeight="1">
      <c r="A25" s="7"/>
      <c r="B25" s="8"/>
      <c r="C25" s="8"/>
      <c r="D25" s="30"/>
      <c r="E25" s="30"/>
      <c r="F25" s="31"/>
      <c r="G25" s="30"/>
      <c r="H25" s="32"/>
      <c r="I25" s="30"/>
      <c r="J25" s="33"/>
      <c r="K25" s="30"/>
      <c r="L25" s="33"/>
    </row>
    <row r="26" spans="1:12" ht="12.75">
      <c r="A26" s="40" t="s">
        <v>44</v>
      </c>
      <c r="B26" s="3" t="s">
        <v>45</v>
      </c>
      <c r="C26" s="3" t="s">
        <v>46</v>
      </c>
      <c r="D26" s="34">
        <f>Existing!E41</f>
        <v>1061.872</v>
      </c>
      <c r="E26" s="34">
        <f>'Base Scenario'!E41</f>
        <v>1384.0511999999999</v>
      </c>
      <c r="F26" s="27">
        <f t="shared" si="0"/>
        <v>0.3034068136272543</v>
      </c>
      <c r="G26" s="34">
        <f>'Std Alt'!E41</f>
        <v>1388.52</v>
      </c>
      <c r="H26" s="28">
        <f t="shared" si="1"/>
        <v>0.30761523046092176</v>
      </c>
      <c r="I26" s="34">
        <f>'Community Scenario A'!E41</f>
        <v>1387.8816000000002</v>
      </c>
      <c r="J26" s="29">
        <f t="shared" si="2"/>
        <v>0.3070140280561123</v>
      </c>
      <c r="K26" s="34">
        <f>'Community Scenario B'!E41</f>
        <v>1420.0144</v>
      </c>
      <c r="L26" s="29">
        <f>(K26-D26)/D26</f>
        <v>0.3372745490981963</v>
      </c>
    </row>
    <row r="27" spans="1:12" ht="12.75">
      <c r="A27" s="40"/>
      <c r="B27" s="3" t="s">
        <v>47</v>
      </c>
      <c r="C27" s="3" t="s">
        <v>46</v>
      </c>
      <c r="D27" s="34">
        <f>Existing!E42</f>
        <v>16989.952</v>
      </c>
      <c r="E27" s="34">
        <f>'Base Scenario'!E42</f>
        <v>22144.819199999998</v>
      </c>
      <c r="F27" s="27">
        <f t="shared" si="0"/>
        <v>0.3034068136272543</v>
      </c>
      <c r="G27" s="34">
        <f>'Std Alt'!E42</f>
        <v>22216.32</v>
      </c>
      <c r="H27" s="28">
        <f t="shared" si="1"/>
        <v>0.30761523046092176</v>
      </c>
      <c r="I27" s="34">
        <f>'Community Scenario A'!E42</f>
        <v>22206.105600000003</v>
      </c>
      <c r="J27" s="29">
        <f t="shared" si="2"/>
        <v>0.3070140280561123</v>
      </c>
      <c r="K27" s="34">
        <f>'Community Scenario B'!E42</f>
        <v>22720.2304</v>
      </c>
      <c r="L27" s="29">
        <f>(K27-D27)/D27</f>
        <v>0.3372745490981963</v>
      </c>
    </row>
    <row r="28" spans="1:12" ht="12.75">
      <c r="A28" s="40"/>
      <c r="B28" s="3" t="s">
        <v>48</v>
      </c>
      <c r="C28" s="3" t="s">
        <v>49</v>
      </c>
      <c r="D28" s="34">
        <f>Existing!E39</f>
        <v>5176.626000000001</v>
      </c>
      <c r="E28" s="34">
        <f>'Base Scenario'!E39</f>
        <v>6747.2496</v>
      </c>
      <c r="F28" s="27">
        <f t="shared" si="0"/>
        <v>0.30340681362725425</v>
      </c>
      <c r="G28" s="34">
        <f>'Std Alt'!E39</f>
        <v>6769.035</v>
      </c>
      <c r="H28" s="28">
        <f t="shared" si="1"/>
        <v>0.30761523046092154</v>
      </c>
      <c r="I28" s="34">
        <f>'Community Scenario A'!E39</f>
        <v>6765.9228</v>
      </c>
      <c r="J28" s="29">
        <f t="shared" si="2"/>
        <v>0.307014028056112</v>
      </c>
      <c r="K28" s="34">
        <f>'Community Scenario B'!E39</f>
        <v>6922.5702</v>
      </c>
      <c r="L28" s="29">
        <f>(K28-D28)/D28</f>
        <v>0.33727454909819615</v>
      </c>
    </row>
    <row r="29" spans="1:12" ht="5.25" customHeight="1">
      <c r="A29" s="7"/>
      <c r="B29" s="8"/>
      <c r="C29" s="8"/>
      <c r="D29" s="30"/>
      <c r="E29" s="30"/>
      <c r="F29" s="31"/>
      <c r="G29" s="30"/>
      <c r="H29" s="32"/>
      <c r="I29" s="30"/>
      <c r="J29" s="33"/>
      <c r="K29" s="30"/>
      <c r="L29" s="33"/>
    </row>
    <row r="30" spans="1:12" ht="12.75">
      <c r="A30" s="40" t="s">
        <v>50</v>
      </c>
      <c r="B30" s="3" t="s">
        <v>51</v>
      </c>
      <c r="C30" s="3" t="s">
        <v>52</v>
      </c>
      <c r="D30" s="37">
        <f>Existing!E24/1000000</f>
        <v>116.7044658</v>
      </c>
      <c r="E30" s="37">
        <f>'Base Scenario'!E24/1000000</f>
        <v>365.474647</v>
      </c>
      <c r="F30" s="27">
        <f t="shared" si="0"/>
        <v>2.1316252081246407</v>
      </c>
      <c r="G30" s="37">
        <f>'Std Alt'!E24/1000000</f>
        <v>362.468483</v>
      </c>
      <c r="H30" s="28">
        <f t="shared" si="1"/>
        <v>2.1058664337761788</v>
      </c>
      <c r="I30" s="37">
        <f>'Community Scenario A'!E24/1000000</f>
        <v>362.824749</v>
      </c>
      <c r="J30" s="29">
        <f t="shared" si="2"/>
        <v>2.1089191532891625</v>
      </c>
      <c r="K30" s="37">
        <f>'Community Scenario B'!E24/1000000</f>
        <v>362.36616319999996</v>
      </c>
      <c r="L30" s="29">
        <f>(K30-D30)/D30</f>
        <v>2.1049896909771895</v>
      </c>
    </row>
    <row r="31" spans="1:12" ht="12.75">
      <c r="A31" s="40"/>
      <c r="B31" s="3" t="s">
        <v>53</v>
      </c>
      <c r="C31" s="3" t="s">
        <v>52</v>
      </c>
      <c r="D31" s="37">
        <f>Existing!E22/1000000</f>
        <v>0.50399</v>
      </c>
      <c r="E31" s="37">
        <f>'Base Scenario'!E22/1000000</f>
        <v>0.656904</v>
      </c>
      <c r="F31" s="27">
        <f t="shared" si="0"/>
        <v>0.30340681362725447</v>
      </c>
      <c r="G31" s="37">
        <f>'Std Alt'!E22/1000000</f>
        <v>0.659025</v>
      </c>
      <c r="H31" s="28">
        <f t="shared" si="1"/>
        <v>0.30761523046092165</v>
      </c>
      <c r="I31" s="37">
        <f>'Community Scenario A'!E22/1000000</f>
        <v>0.658722</v>
      </c>
      <c r="J31" s="29">
        <f t="shared" si="2"/>
        <v>0.30701402805611216</v>
      </c>
      <c r="K31" s="37">
        <f>'Community Scenario B'!E22/1000000</f>
        <v>0.673973</v>
      </c>
      <c r="L31" s="29">
        <f>(K31-D31)/D31</f>
        <v>0.3372745490981964</v>
      </c>
    </row>
    <row r="32" spans="1:12" ht="12.75">
      <c r="A32" s="40"/>
      <c r="B32" s="3" t="s">
        <v>54</v>
      </c>
      <c r="C32" s="3" t="s">
        <v>52</v>
      </c>
      <c r="D32" s="37">
        <f>Existing!E23/1000000</f>
        <v>116.20047579999999</v>
      </c>
      <c r="E32" s="37">
        <f>'Base Scenario'!E23/1000000</f>
        <v>364.817743</v>
      </c>
      <c r="F32" s="27">
        <f t="shared" si="0"/>
        <v>2.1395546402745453</v>
      </c>
      <c r="G32" s="37">
        <f>'Std Alt'!E23/1000000</f>
        <v>361.809458</v>
      </c>
      <c r="H32" s="28">
        <f t="shared" si="1"/>
        <v>2.1136658908585986</v>
      </c>
      <c r="I32" s="37">
        <f>'Community Scenario A'!E23/1000000</f>
        <v>362.166027</v>
      </c>
      <c r="J32" s="29">
        <f t="shared" si="2"/>
        <v>2.116734458328268</v>
      </c>
      <c r="K32" s="37">
        <f>'Community Scenario B'!E23/1000000</f>
        <v>361.69219019999997</v>
      </c>
      <c r="L32" s="29">
        <f>(K32-D32)/D32</f>
        <v>2.1126567056621295</v>
      </c>
    </row>
    <row r="33" spans="1:12" ht="12.75">
      <c r="A33" s="40"/>
      <c r="B33" s="3" t="s">
        <v>55</v>
      </c>
      <c r="C33" s="3" t="s">
        <v>56</v>
      </c>
      <c r="D33" s="36">
        <f>Existing!E21/1000000</f>
        <v>1.95109</v>
      </c>
      <c r="E33" s="36">
        <f>'Base Scenario'!E21/1000000</f>
        <v>2.543064</v>
      </c>
      <c r="F33" s="27">
        <f t="shared" si="0"/>
        <v>0.30340681362725463</v>
      </c>
      <c r="G33" s="36">
        <f>'Std Alt'!E21/1000000</f>
        <v>2.551275</v>
      </c>
      <c r="H33" s="28">
        <f t="shared" si="1"/>
        <v>0.3076152304609218</v>
      </c>
      <c r="I33" s="36">
        <f>'Community Scenario A'!E21/1000000</f>
        <v>2.550102</v>
      </c>
      <c r="J33" s="29">
        <f t="shared" si="2"/>
        <v>0.30701402805611216</v>
      </c>
      <c r="K33" s="36">
        <f>'Community Scenario B'!E21/1000000</f>
        <v>2.609143</v>
      </c>
      <c r="L33" s="29">
        <f>(K33-D33)/D33</f>
        <v>0.3372745490981964</v>
      </c>
    </row>
    <row r="34" spans="1:12" ht="5.25" customHeight="1">
      <c r="A34" s="8"/>
      <c r="B34" s="8"/>
      <c r="C34" s="8"/>
      <c r="D34" s="30"/>
      <c r="E34" s="30"/>
      <c r="F34" s="31"/>
      <c r="G34" s="30"/>
      <c r="H34" s="32"/>
      <c r="I34" s="30"/>
      <c r="J34" s="33"/>
      <c r="K34" s="30"/>
      <c r="L34" s="33"/>
    </row>
    <row r="35" spans="1:12" ht="12.75">
      <c r="A35" s="40" t="s">
        <v>57</v>
      </c>
      <c r="B35" s="3" t="s">
        <v>58</v>
      </c>
      <c r="C35" s="3" t="s">
        <v>58</v>
      </c>
      <c r="D35" s="38">
        <f>Existing!E15</f>
        <v>9181.6</v>
      </c>
      <c r="E35" s="38">
        <f>'Base Scenario'!E15</f>
        <v>11967.36</v>
      </c>
      <c r="F35" s="27">
        <f t="shared" si="0"/>
        <v>0.3034068136272545</v>
      </c>
      <c r="G35" s="38">
        <f>'Std Alt'!E15</f>
        <v>12006</v>
      </c>
      <c r="H35" s="28">
        <f t="shared" si="1"/>
        <v>0.3076152304609218</v>
      </c>
      <c r="I35" s="38">
        <f>'Community Scenario A'!E15</f>
        <v>12000.480000000001</v>
      </c>
      <c r="J35" s="29">
        <f t="shared" si="2"/>
        <v>0.30701402805611233</v>
      </c>
      <c r="K35" s="38">
        <f>'Community Scenario B'!E15</f>
        <v>12278.32</v>
      </c>
      <c r="L35" s="29">
        <f>(K35-D35)/D35</f>
        <v>0.3372745490981963</v>
      </c>
    </row>
    <row r="36" spans="1:12" ht="12.75">
      <c r="A36" s="40"/>
      <c r="B36" s="3" t="s">
        <v>59</v>
      </c>
      <c r="C36" s="3" t="s">
        <v>60</v>
      </c>
      <c r="D36" s="38">
        <f>Existing!E16</f>
        <v>29690.5</v>
      </c>
      <c r="E36" s="38">
        <f>'Base Scenario'!E16</f>
        <v>38698.8</v>
      </c>
      <c r="F36" s="27">
        <f t="shared" si="0"/>
        <v>0.30340681362725463</v>
      </c>
      <c r="G36" s="38">
        <f>'Std Alt'!E16</f>
        <v>38823.75</v>
      </c>
      <c r="H36" s="28">
        <f t="shared" si="1"/>
        <v>0.3076152304609218</v>
      </c>
      <c r="I36" s="38">
        <f>'Community Scenario A'!E16</f>
        <v>38805.9</v>
      </c>
      <c r="J36" s="29">
        <f t="shared" si="2"/>
        <v>0.3070140280561123</v>
      </c>
      <c r="K36" s="38">
        <f>'Community Scenario B'!E16</f>
        <v>39704.35</v>
      </c>
      <c r="L36" s="29">
        <f>(K36-D36)/D36</f>
        <v>0.3372745490981963</v>
      </c>
    </row>
    <row r="37" spans="1:12" ht="12.75">
      <c r="A37" s="40"/>
      <c r="B37" s="3" t="s">
        <v>63</v>
      </c>
      <c r="C37" s="3" t="s">
        <v>61</v>
      </c>
      <c r="D37" s="36">
        <f>Existing!E17*365</f>
        <v>9262.712357894958</v>
      </c>
      <c r="E37" s="36">
        <f>'Base Scenario'!E17*365</f>
        <v>12073.08239994966</v>
      </c>
      <c r="F37" s="27">
        <f t="shared" si="0"/>
        <v>0.3034068136272545</v>
      </c>
      <c r="G37" s="36">
        <f>'Std Alt'!E17*365</f>
        <v>12112.063754562041</v>
      </c>
      <c r="H37" s="28">
        <f t="shared" si="1"/>
        <v>0.30761523046092154</v>
      </c>
      <c r="I37" s="36">
        <f>'Community Scenario A'!E17*365</f>
        <v>12106.494989617417</v>
      </c>
      <c r="J37" s="29">
        <f t="shared" si="2"/>
        <v>0.3070140280561121</v>
      </c>
      <c r="K37" s="36">
        <f>'Community Scenario B'!E17*365</f>
        <v>12386.789491830268</v>
      </c>
      <c r="L37" s="29">
        <f>(K37-D37)/D37</f>
        <v>0.3372745490981961</v>
      </c>
    </row>
    <row r="38" spans="1:12" ht="12.75">
      <c r="A38" s="40"/>
      <c r="B38" s="3" t="s">
        <v>64</v>
      </c>
      <c r="C38" s="3" t="s">
        <v>62</v>
      </c>
      <c r="D38" s="36">
        <f>Existing!E18*365</f>
        <v>224167.04282994923</v>
      </c>
      <c r="E38" s="36">
        <f>'Base Scenario'!E18*365</f>
        <v>292180.8510152285</v>
      </c>
      <c r="F38" s="27">
        <f>(E38-D38)/D38</f>
        <v>0.3034068136272548</v>
      </c>
      <c r="G38" s="36">
        <f>'Std Alt'!E18*365</f>
        <v>293124.2393718274</v>
      </c>
      <c r="H38" s="28">
        <f>(G38-D38)/D38</f>
        <v>0.3076152304609218</v>
      </c>
      <c r="I38" s="36">
        <f>'Community Scenario A'!E18*365</f>
        <v>292989.469606599</v>
      </c>
      <c r="J38" s="29">
        <f>(I38-D38)/D38</f>
        <v>0.3070140280561124</v>
      </c>
      <c r="K38" s="36">
        <f>'Community Scenario B'!E18*365</f>
        <v>299772.88112309645</v>
      </c>
      <c r="L38" s="29">
        <f>(K38-D38)/D38</f>
        <v>0.33727454909819643</v>
      </c>
    </row>
    <row r="39" spans="1:12" ht="12.75">
      <c r="A39" s="40"/>
      <c r="B39" s="3" t="s">
        <v>65</v>
      </c>
      <c r="C39" s="3" t="s">
        <v>61</v>
      </c>
      <c r="D39" s="36">
        <f>Existing!E20*365</f>
        <v>147744.75556206086</v>
      </c>
      <c r="E39" s="36">
        <f>'Base Scenario'!E20*365</f>
        <v>192571.52107728337</v>
      </c>
      <c r="F39" s="27">
        <f>(E39-D39)/D39</f>
        <v>0.30340681362725475</v>
      </c>
      <c r="G39" s="36">
        <f>'Std Alt'!E20*365</f>
        <v>193193.29259367677</v>
      </c>
      <c r="H39" s="28">
        <f>(G39-D39)/D39</f>
        <v>0.3076152304609218</v>
      </c>
      <c r="I39" s="36">
        <f>'Community Scenario A'!E20*365</f>
        <v>193104.4680913349</v>
      </c>
      <c r="J39" s="29">
        <f>(I39-D39)/D39</f>
        <v>0.3070140280561124</v>
      </c>
      <c r="K39" s="36">
        <f>'Community Scenario B'!E20*365</f>
        <v>197575.30137587822</v>
      </c>
      <c r="L39" s="29">
        <f>(K39-D39)/D39</f>
        <v>0.33727454909819665</v>
      </c>
    </row>
    <row r="40" spans="1:12" ht="12.75">
      <c r="A40" s="40"/>
      <c r="B40" s="3" t="s">
        <v>66</v>
      </c>
      <c r="C40" s="3" t="s">
        <v>61</v>
      </c>
      <c r="D40" s="36">
        <f>Existing!E19*365</f>
        <v>73332.62610013284</v>
      </c>
      <c r="E40" s="36">
        <f>'Base Scenario'!E19*365</f>
        <v>95582.244520093</v>
      </c>
      <c r="F40" s="27">
        <f>(E40-D40)/D40</f>
        <v>0.3034068136272547</v>
      </c>
      <c r="G40" s="36">
        <f>'Std Alt'!E19*365</f>
        <v>95890.85877822981</v>
      </c>
      <c r="H40" s="28">
        <f>(G40-D40)/D40</f>
        <v>0.3076152304609218</v>
      </c>
      <c r="I40" s="36">
        <f>'Community Scenario A'!E19*365</f>
        <v>95846.77102706741</v>
      </c>
      <c r="J40" s="29" t="s">
        <v>68</v>
      </c>
      <c r="K40" s="36">
        <f>'Community Scenario B'!E19*365</f>
        <v>98065.85450224177</v>
      </c>
      <c r="L40" s="29" t="s">
        <v>68</v>
      </c>
    </row>
  </sheetData>
  <sheetProtection/>
  <mergeCells count="7">
    <mergeCell ref="A26:A28"/>
    <mergeCell ref="A30:A33"/>
    <mergeCell ref="A35:A40"/>
    <mergeCell ref="A2:A5"/>
    <mergeCell ref="A7:A11"/>
    <mergeCell ref="A13:A14"/>
    <mergeCell ref="A16:A24"/>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48"/>
  <sheetViews>
    <sheetView zoomScalePageLayoutView="0" workbookViewId="0" topLeftCell="A30">
      <selection activeCell="E38" sqref="E38"/>
    </sheetView>
  </sheetViews>
  <sheetFormatPr defaultColWidth="25.00390625" defaultRowHeight="12.75"/>
  <sheetData>
    <row r="1" spans="1:5" ht="13.5" thickBot="1">
      <c r="A1" s="9" t="s">
        <v>0</v>
      </c>
      <c r="B1" s="10" t="s">
        <v>6</v>
      </c>
      <c r="C1" s="10" t="s">
        <v>69</v>
      </c>
      <c r="D1" s="10" t="s">
        <v>70</v>
      </c>
      <c r="E1" s="17" t="s">
        <v>131</v>
      </c>
    </row>
    <row r="2" spans="1:5" ht="13.5" thickBot="1">
      <c r="A2" s="42" t="s">
        <v>71</v>
      </c>
      <c r="B2" s="11" t="s">
        <v>72</v>
      </c>
      <c r="C2" s="12">
        <v>4990</v>
      </c>
      <c r="D2" s="13" t="s">
        <v>132</v>
      </c>
      <c r="E2">
        <f aca="true" t="shared" si="0" ref="E2:E9">C2</f>
        <v>4990</v>
      </c>
    </row>
    <row r="3" spans="1:5" ht="13.5" thickBot="1">
      <c r="A3" s="43"/>
      <c r="B3" s="11" t="s">
        <v>73</v>
      </c>
      <c r="C3" s="12">
        <v>5097</v>
      </c>
      <c r="D3" s="13" t="s">
        <v>132</v>
      </c>
      <c r="E3">
        <f t="shared" si="0"/>
        <v>5097</v>
      </c>
    </row>
    <row r="4" spans="1:5" ht="13.5" thickBot="1">
      <c r="A4" s="43"/>
      <c r="B4" s="11" t="s">
        <v>74</v>
      </c>
      <c r="C4" s="12">
        <v>1365458</v>
      </c>
      <c r="D4" s="13" t="s">
        <v>132</v>
      </c>
      <c r="E4">
        <f t="shared" si="0"/>
        <v>1365458</v>
      </c>
    </row>
    <row r="5" spans="1:5" ht="13.5" thickBot="1">
      <c r="A5" s="43"/>
      <c r="B5" s="11" t="s">
        <v>7</v>
      </c>
      <c r="C5" s="12">
        <v>5855</v>
      </c>
      <c r="D5" s="13" t="s">
        <v>132</v>
      </c>
      <c r="E5">
        <f t="shared" si="0"/>
        <v>5855</v>
      </c>
    </row>
    <row r="6" spans="1:5" ht="26.25" thickBot="1">
      <c r="A6" s="43"/>
      <c r="B6" s="11" t="s">
        <v>8</v>
      </c>
      <c r="C6" s="12">
        <v>220.5</v>
      </c>
      <c r="D6" s="13" t="s">
        <v>132</v>
      </c>
      <c r="E6">
        <f t="shared" si="0"/>
        <v>220.5</v>
      </c>
    </row>
    <row r="7" spans="1:5" ht="13.5" thickBot="1">
      <c r="A7" s="43"/>
      <c r="B7" s="11" t="s">
        <v>75</v>
      </c>
      <c r="C7" s="12">
        <f>C6+C5</f>
        <v>6075.5</v>
      </c>
      <c r="D7" s="13" t="s">
        <v>132</v>
      </c>
      <c r="E7">
        <f t="shared" si="0"/>
        <v>6075.5</v>
      </c>
    </row>
    <row r="8" spans="1:7" ht="13.5" thickBot="1">
      <c r="A8" s="44"/>
      <c r="B8" s="14" t="s">
        <v>76</v>
      </c>
      <c r="C8" s="25">
        <v>232.1</v>
      </c>
      <c r="D8" s="12" t="s">
        <v>130</v>
      </c>
      <c r="E8">
        <f t="shared" si="0"/>
        <v>232.1</v>
      </c>
      <c r="G8" t="s">
        <v>145</v>
      </c>
    </row>
    <row r="9" spans="1:5" ht="13.5" thickBot="1">
      <c r="A9" s="15"/>
      <c r="B9" s="14" t="s">
        <v>77</v>
      </c>
      <c r="C9" s="12">
        <v>3569.7</v>
      </c>
      <c r="D9" s="13" t="s">
        <v>132</v>
      </c>
      <c r="E9">
        <f t="shared" si="0"/>
        <v>3569.7</v>
      </c>
    </row>
    <row r="10" spans="1:5" ht="26.25" thickBot="1">
      <c r="A10" s="42" t="s">
        <v>15</v>
      </c>
      <c r="B10" s="11" t="s">
        <v>16</v>
      </c>
      <c r="C10" s="13" t="s">
        <v>78</v>
      </c>
      <c r="D10" s="13" t="s">
        <v>79</v>
      </c>
      <c r="E10">
        <f>B46*C2</f>
        <v>13273.400000000001</v>
      </c>
    </row>
    <row r="11" spans="1:5" ht="39" thickBot="1">
      <c r="A11" s="43"/>
      <c r="B11" s="11" t="s">
        <v>17</v>
      </c>
      <c r="C11" s="14" t="s">
        <v>80</v>
      </c>
      <c r="D11" s="13" t="s">
        <v>81</v>
      </c>
      <c r="E11">
        <f>E10*0.189</f>
        <v>2508.6726000000003</v>
      </c>
    </row>
    <row r="12" spans="1:5" ht="64.5" thickBot="1">
      <c r="A12" s="43"/>
      <c r="B12" s="11" t="s">
        <v>82</v>
      </c>
      <c r="C12" s="14" t="s">
        <v>83</v>
      </c>
      <c r="D12" s="13" t="s">
        <v>84</v>
      </c>
      <c r="E12">
        <f>E10*0.4089</f>
        <v>5427.49326</v>
      </c>
    </row>
    <row r="13" spans="1:5" ht="77.25" thickBot="1">
      <c r="A13" s="43"/>
      <c r="B13" s="11" t="s">
        <v>21</v>
      </c>
      <c r="C13" s="14" t="s">
        <v>85</v>
      </c>
      <c r="D13" s="13" t="s">
        <v>86</v>
      </c>
      <c r="E13">
        <f>C4/823</f>
        <v>1659.1227217496962</v>
      </c>
    </row>
    <row r="14" spans="1:5" ht="26.25" thickBot="1">
      <c r="A14" s="44"/>
      <c r="B14" s="11" t="s">
        <v>23</v>
      </c>
      <c r="C14" s="14" t="s">
        <v>87</v>
      </c>
      <c r="D14" s="13"/>
      <c r="E14">
        <f>E13/E2</f>
        <v>0.3324895233967327</v>
      </c>
    </row>
    <row r="15" spans="1:5" ht="26.25" thickBot="1">
      <c r="A15" s="42" t="s">
        <v>57</v>
      </c>
      <c r="B15" s="14" t="s">
        <v>58</v>
      </c>
      <c r="C15" s="14" t="s">
        <v>88</v>
      </c>
      <c r="D15" s="13" t="s">
        <v>89</v>
      </c>
      <c r="E15">
        <f>E2*1.84</f>
        <v>9181.6</v>
      </c>
    </row>
    <row r="16" spans="1:5" ht="90" thickBot="1">
      <c r="A16" s="43"/>
      <c r="B16" s="14" t="s">
        <v>90</v>
      </c>
      <c r="C16" s="14" t="s">
        <v>91</v>
      </c>
      <c r="D16" s="13" t="s">
        <v>92</v>
      </c>
      <c r="E16">
        <f>E2*5.95</f>
        <v>29690.5</v>
      </c>
    </row>
    <row r="17" spans="1:5" ht="64.5" thickBot="1">
      <c r="A17" s="43"/>
      <c r="B17" s="14" t="s">
        <v>93</v>
      </c>
      <c r="C17" s="14" t="s">
        <v>94</v>
      </c>
      <c r="D17" s="45" t="s">
        <v>95</v>
      </c>
      <c r="E17">
        <f>(E16*9.78)/(24*476.76)</f>
        <v>25.37729413121906</v>
      </c>
    </row>
    <row r="18" spans="1:5" ht="64.5" thickBot="1">
      <c r="A18" s="43"/>
      <c r="B18" s="14" t="s">
        <v>96</v>
      </c>
      <c r="C18" s="14" t="s">
        <v>97</v>
      </c>
      <c r="D18" s="46"/>
      <c r="E18">
        <f>($E$16*9.78)/(24*19.7)</f>
        <v>614.1562817258883</v>
      </c>
    </row>
    <row r="19" spans="1:5" ht="64.5" thickBot="1">
      <c r="A19" s="43"/>
      <c r="B19" s="14" t="s">
        <v>98</v>
      </c>
      <c r="C19" s="14" t="s">
        <v>99</v>
      </c>
      <c r="D19" s="46"/>
      <c r="E19">
        <f>($E$16*9.78)/(24*60.22)</f>
        <v>200.9113043839256</v>
      </c>
    </row>
    <row r="20" spans="1:5" ht="64.5" thickBot="1">
      <c r="A20" s="44"/>
      <c r="B20" s="14" t="s">
        <v>100</v>
      </c>
      <c r="C20" s="14" t="s">
        <v>101</v>
      </c>
      <c r="D20" s="47"/>
      <c r="E20">
        <f>($E$16*9.78)/(24*29.89)</f>
        <v>404.7801522248243</v>
      </c>
    </row>
    <row r="21" spans="1:5" ht="64.5" thickBot="1">
      <c r="A21" s="42" t="s">
        <v>102</v>
      </c>
      <c r="B21" s="14" t="s">
        <v>55</v>
      </c>
      <c r="C21" s="14" t="s">
        <v>103</v>
      </c>
      <c r="D21" s="13" t="s">
        <v>104</v>
      </c>
      <c r="E21">
        <f>E2*391</f>
        <v>1951090</v>
      </c>
    </row>
    <row r="22" spans="1:5" ht="64.5" thickBot="1">
      <c r="A22" s="43"/>
      <c r="B22" s="14" t="s">
        <v>53</v>
      </c>
      <c r="C22" s="14" t="s">
        <v>105</v>
      </c>
      <c r="D22" s="13" t="s">
        <v>106</v>
      </c>
      <c r="E22">
        <f>E2*101</f>
        <v>503990</v>
      </c>
    </row>
    <row r="23" spans="1:5" ht="90" thickBot="1">
      <c r="A23" s="43"/>
      <c r="B23" s="14" t="s">
        <v>54</v>
      </c>
      <c r="C23" s="14" t="s">
        <v>107</v>
      </c>
      <c r="D23" s="13" t="s">
        <v>108</v>
      </c>
      <c r="E23">
        <f>E4*85.1</f>
        <v>116200475.8</v>
      </c>
    </row>
    <row r="24" spans="1:5" ht="26.25" thickBot="1">
      <c r="A24" s="44"/>
      <c r="B24" s="14" t="s">
        <v>109</v>
      </c>
      <c r="C24" s="14" t="s">
        <v>110</v>
      </c>
      <c r="D24" s="13"/>
      <c r="E24">
        <f>E22+E23</f>
        <v>116704465.8</v>
      </c>
    </row>
    <row r="25" spans="1:5" ht="13.5" thickBot="1">
      <c r="A25" s="42" t="s">
        <v>34</v>
      </c>
      <c r="B25" s="14" t="s">
        <v>111</v>
      </c>
      <c r="C25" s="14" t="s">
        <v>112</v>
      </c>
      <c r="D25" s="13"/>
      <c r="E25">
        <f>E7/E10</f>
        <v>0.45771995118055653</v>
      </c>
    </row>
    <row r="26" spans="1:5" ht="13.5" thickBot="1">
      <c r="A26" s="43"/>
      <c r="B26" s="14" t="s">
        <v>29</v>
      </c>
      <c r="C26" s="14" t="s">
        <v>113</v>
      </c>
      <c r="D26" s="13"/>
      <c r="E26">
        <f>E10/B47</f>
        <v>476.7744252873564</v>
      </c>
    </row>
    <row r="27" spans="1:5" ht="26.25" thickBot="1">
      <c r="A27" s="43"/>
      <c r="B27" s="14" t="s">
        <v>31</v>
      </c>
      <c r="C27" s="14" t="s">
        <v>114</v>
      </c>
      <c r="D27" s="13"/>
      <c r="E27">
        <f>E2/E5</f>
        <v>0.852263023057216</v>
      </c>
    </row>
    <row r="28" spans="1:5" ht="26.25" thickBot="1">
      <c r="A28" s="43"/>
      <c r="B28" s="14" t="s">
        <v>115</v>
      </c>
      <c r="C28" s="14" t="s">
        <v>116</v>
      </c>
      <c r="D28" s="13"/>
      <c r="E28">
        <f>E13/E6</f>
        <v>7.524366085032636</v>
      </c>
    </row>
    <row r="29" spans="1:5" ht="45.75" thickBot="1">
      <c r="A29" s="43"/>
      <c r="B29" s="18" t="s">
        <v>41</v>
      </c>
      <c r="C29" s="19" t="s">
        <v>135</v>
      </c>
      <c r="D29" s="18" t="s">
        <v>141</v>
      </c>
      <c r="E29" s="20">
        <v>175</v>
      </c>
    </row>
    <row r="30" spans="1:5" ht="45.75" thickBot="1">
      <c r="A30" s="43"/>
      <c r="B30" s="18" t="s">
        <v>39</v>
      </c>
      <c r="C30" s="18" t="s">
        <v>136</v>
      </c>
      <c r="D30" s="18" t="s">
        <v>141</v>
      </c>
      <c r="E30" s="20">
        <v>10879</v>
      </c>
    </row>
    <row r="31" spans="1:5" ht="45.75" thickBot="1">
      <c r="A31" s="43"/>
      <c r="B31" s="18" t="s">
        <v>40</v>
      </c>
      <c r="C31" s="19" t="s">
        <v>137</v>
      </c>
      <c r="D31" s="18" t="s">
        <v>141</v>
      </c>
      <c r="E31" s="20">
        <v>3479</v>
      </c>
    </row>
    <row r="32" spans="1:5" ht="45.75" thickBot="1">
      <c r="A32" s="43"/>
      <c r="B32" s="18" t="s">
        <v>42</v>
      </c>
      <c r="C32" s="19" t="s">
        <v>138</v>
      </c>
      <c r="D32" s="18" t="s">
        <v>141</v>
      </c>
      <c r="E32" s="20">
        <v>11461</v>
      </c>
    </row>
    <row r="33" spans="1:5" ht="60.75" thickBot="1">
      <c r="A33" s="43"/>
      <c r="B33" s="18" t="s">
        <v>43</v>
      </c>
      <c r="C33" s="18" t="s">
        <v>139</v>
      </c>
      <c r="D33" s="18" t="s">
        <v>141</v>
      </c>
      <c r="E33" s="20">
        <v>7311</v>
      </c>
    </row>
    <row r="34" spans="1:5" ht="45.75" thickBot="1">
      <c r="A34" s="43"/>
      <c r="B34" s="18" t="s">
        <v>37</v>
      </c>
      <c r="C34" s="18" t="s">
        <v>140</v>
      </c>
      <c r="D34" s="18" t="s">
        <v>141</v>
      </c>
      <c r="E34" s="20">
        <v>2940</v>
      </c>
    </row>
    <row r="35" spans="1:5" ht="26.25" thickBot="1">
      <c r="A35" s="44"/>
      <c r="B35" s="14" t="s">
        <v>117</v>
      </c>
      <c r="C35" s="14" t="s">
        <v>118</v>
      </c>
      <c r="D35" s="13"/>
      <c r="E35">
        <f>E8/E10</f>
        <v>0.017486100019588047</v>
      </c>
    </row>
    <row r="36" spans="1:5" ht="51.75" thickBot="1">
      <c r="A36" s="42" t="s">
        <v>119</v>
      </c>
      <c r="B36" s="11" t="s">
        <v>25</v>
      </c>
      <c r="C36" s="12" t="s">
        <v>120</v>
      </c>
      <c r="D36" s="13"/>
      <c r="E36" s="21">
        <f>E9/B48</f>
        <v>0.20034684806034483</v>
      </c>
    </row>
    <row r="37" spans="1:5" ht="15.75" thickBot="1">
      <c r="A37" s="43"/>
      <c r="B37" s="22" t="s">
        <v>121</v>
      </c>
      <c r="C37" s="23">
        <f>(C5*0.57)+(C6*0.42)</f>
        <v>3429.96</v>
      </c>
      <c r="D37" s="23" t="s">
        <v>122</v>
      </c>
      <c r="E37" s="48">
        <f>C37/B48</f>
        <v>0.1925040409482759</v>
      </c>
    </row>
    <row r="38" spans="1:5" ht="15.75" thickBot="1">
      <c r="A38" s="44"/>
      <c r="B38" s="22" t="s">
        <v>123</v>
      </c>
      <c r="C38" s="23"/>
      <c r="D38" s="23" t="s">
        <v>122</v>
      </c>
      <c r="E38" s="24"/>
    </row>
    <row r="39" spans="1:5" ht="39" thickBot="1">
      <c r="A39" s="42" t="s">
        <v>44</v>
      </c>
      <c r="B39" s="11" t="s">
        <v>48</v>
      </c>
      <c r="C39" s="14" t="s">
        <v>124</v>
      </c>
      <c r="D39" s="13" t="s">
        <v>122</v>
      </c>
      <c r="E39">
        <f>E10*0.39</f>
        <v>5176.626000000001</v>
      </c>
    </row>
    <row r="40" spans="1:4" ht="13.5" thickBot="1">
      <c r="A40" s="43"/>
      <c r="B40" s="11" t="s">
        <v>125</v>
      </c>
      <c r="C40" s="14"/>
      <c r="D40" s="13"/>
    </row>
    <row r="41" spans="1:5" ht="26.25" thickBot="1">
      <c r="A41" s="43"/>
      <c r="B41" s="11" t="s">
        <v>126</v>
      </c>
      <c r="C41" s="14" t="s">
        <v>127</v>
      </c>
      <c r="D41" s="13" t="s">
        <v>122</v>
      </c>
      <c r="E41">
        <f>E10*0.08</f>
        <v>1061.872</v>
      </c>
    </row>
    <row r="42" spans="1:5" ht="26.25" thickBot="1">
      <c r="A42" s="44"/>
      <c r="B42" s="11" t="s">
        <v>128</v>
      </c>
      <c r="C42" s="14" t="s">
        <v>129</v>
      </c>
      <c r="D42" s="13" t="s">
        <v>122</v>
      </c>
      <c r="E42">
        <f>E10*1.28</f>
        <v>16989.952</v>
      </c>
    </row>
    <row r="46" spans="1:2" ht="12.75">
      <c r="A46" s="16" t="s">
        <v>133</v>
      </c>
      <c r="B46">
        <v>2.66</v>
      </c>
    </row>
    <row r="47" spans="1:2" ht="12.75">
      <c r="A47" s="16" t="s">
        <v>134</v>
      </c>
      <c r="B47">
        <v>27.84</v>
      </c>
    </row>
    <row r="48" spans="1:2" ht="12.75">
      <c r="A48" s="16" t="s">
        <v>142</v>
      </c>
      <c r="B48">
        <f>B47*640</f>
        <v>17817.6</v>
      </c>
    </row>
  </sheetData>
  <sheetProtection/>
  <mergeCells count="8">
    <mergeCell ref="A36:A38"/>
    <mergeCell ref="A39:A42"/>
    <mergeCell ref="A2:A8"/>
    <mergeCell ref="A10:A14"/>
    <mergeCell ref="A15:A20"/>
    <mergeCell ref="D17:D20"/>
    <mergeCell ref="A21:A24"/>
    <mergeCell ref="A25:A35"/>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E48"/>
  <sheetViews>
    <sheetView zoomScalePageLayoutView="0" workbookViewId="0" topLeftCell="A22">
      <selection activeCell="F33" sqref="F33"/>
    </sheetView>
  </sheetViews>
  <sheetFormatPr defaultColWidth="9.140625" defaultRowHeight="12.75"/>
  <cols>
    <col min="1" max="5" width="36.421875" style="0" customWidth="1"/>
  </cols>
  <sheetData>
    <row r="1" spans="1:5" ht="13.5" thickBot="1">
      <c r="A1" s="9" t="s">
        <v>0</v>
      </c>
      <c r="B1" s="10" t="s">
        <v>6</v>
      </c>
      <c r="C1" s="10" t="s">
        <v>69</v>
      </c>
      <c r="D1" s="10" t="s">
        <v>70</v>
      </c>
      <c r="E1" s="17" t="s">
        <v>131</v>
      </c>
    </row>
    <row r="2" spans="1:5" ht="13.5" thickBot="1">
      <c r="A2" s="42" t="s">
        <v>71</v>
      </c>
      <c r="B2" s="11" t="s">
        <v>72</v>
      </c>
      <c r="C2" s="12">
        <v>6504</v>
      </c>
      <c r="D2" s="13" t="s">
        <v>132</v>
      </c>
      <c r="E2">
        <f aca="true" t="shared" si="0" ref="E2:E9">C2</f>
        <v>6504</v>
      </c>
    </row>
    <row r="3" spans="1:5" ht="13.5" thickBot="1">
      <c r="A3" s="43"/>
      <c r="B3" s="11" t="s">
        <v>73</v>
      </c>
      <c r="C3" s="12">
        <v>6774</v>
      </c>
      <c r="D3" s="13" t="s">
        <v>132</v>
      </c>
      <c r="E3">
        <f t="shared" si="0"/>
        <v>6774</v>
      </c>
    </row>
    <row r="4" spans="1:5" ht="13.5" thickBot="1">
      <c r="A4" s="43"/>
      <c r="B4" s="11" t="s">
        <v>74</v>
      </c>
      <c r="C4" s="12">
        <v>4286930</v>
      </c>
      <c r="D4" s="13" t="s">
        <v>132</v>
      </c>
      <c r="E4">
        <f t="shared" si="0"/>
        <v>4286930</v>
      </c>
    </row>
    <row r="5" spans="1:5" ht="13.5" thickBot="1">
      <c r="A5" s="43"/>
      <c r="B5" s="11" t="s">
        <v>7</v>
      </c>
      <c r="C5" s="12">
        <v>11142.5</v>
      </c>
      <c r="D5" s="13" t="s">
        <v>132</v>
      </c>
      <c r="E5">
        <f t="shared" si="0"/>
        <v>11142.5</v>
      </c>
    </row>
    <row r="6" spans="1:5" ht="13.5" thickBot="1">
      <c r="A6" s="43"/>
      <c r="B6" s="11" t="s">
        <v>8</v>
      </c>
      <c r="C6" s="12">
        <v>808.5</v>
      </c>
      <c r="D6" s="13" t="s">
        <v>132</v>
      </c>
      <c r="E6">
        <f>C6+Existing!E6</f>
        <v>1029</v>
      </c>
    </row>
    <row r="7" spans="1:5" ht="13.5" thickBot="1">
      <c r="A7" s="43"/>
      <c r="B7" s="11" t="s">
        <v>75</v>
      </c>
      <c r="C7" s="12">
        <f>C6+C5</f>
        <v>11951</v>
      </c>
      <c r="D7" s="13" t="s">
        <v>132</v>
      </c>
      <c r="E7">
        <f t="shared" si="0"/>
        <v>11951</v>
      </c>
    </row>
    <row r="8" spans="1:5" ht="13.5" thickBot="1">
      <c r="A8" s="44"/>
      <c r="B8" s="14" t="s">
        <v>76</v>
      </c>
      <c r="C8">
        <v>232.1</v>
      </c>
      <c r="D8" s="12" t="s">
        <v>130</v>
      </c>
      <c r="E8">
        <f t="shared" si="0"/>
        <v>232.1</v>
      </c>
    </row>
    <row r="9" spans="1:5" ht="13.5" thickBot="1">
      <c r="A9" s="15"/>
      <c r="B9" s="14" t="s">
        <v>77</v>
      </c>
      <c r="C9" s="12">
        <v>3569.7</v>
      </c>
      <c r="D9" s="13" t="s">
        <v>132</v>
      </c>
      <c r="E9">
        <f t="shared" si="0"/>
        <v>3569.7</v>
      </c>
    </row>
    <row r="10" spans="1:5" ht="26.25" thickBot="1">
      <c r="A10" s="42" t="s">
        <v>15</v>
      </c>
      <c r="B10" s="11" t="s">
        <v>16</v>
      </c>
      <c r="C10" s="13" t="s">
        <v>78</v>
      </c>
      <c r="D10" s="13" t="s">
        <v>79</v>
      </c>
      <c r="E10">
        <f>B46*C2</f>
        <v>17300.64</v>
      </c>
    </row>
    <row r="11" spans="1:5" ht="26.25" thickBot="1">
      <c r="A11" s="43"/>
      <c r="B11" s="11" t="s">
        <v>17</v>
      </c>
      <c r="C11" s="14" t="s">
        <v>80</v>
      </c>
      <c r="D11" s="13" t="s">
        <v>81</v>
      </c>
      <c r="E11">
        <f>E10*0.189</f>
        <v>3269.82096</v>
      </c>
    </row>
    <row r="12" spans="1:5" ht="39" thickBot="1">
      <c r="A12" s="43"/>
      <c r="B12" s="11" t="s">
        <v>82</v>
      </c>
      <c r="C12" s="14" t="s">
        <v>83</v>
      </c>
      <c r="D12" s="13" t="s">
        <v>84</v>
      </c>
      <c r="E12">
        <f>E10*0.4089</f>
        <v>7074.231696</v>
      </c>
    </row>
    <row r="13" spans="1:5" ht="51.75" thickBot="1">
      <c r="A13" s="43"/>
      <c r="B13" s="11" t="s">
        <v>21</v>
      </c>
      <c r="C13" s="14" t="s">
        <v>85</v>
      </c>
      <c r="D13" s="13" t="s">
        <v>86</v>
      </c>
      <c r="E13">
        <f>C4/823</f>
        <v>5208.906439854192</v>
      </c>
    </row>
    <row r="14" spans="1:5" ht="13.5" thickBot="1">
      <c r="A14" s="44"/>
      <c r="B14" s="11" t="s">
        <v>23</v>
      </c>
      <c r="C14" s="14" t="s">
        <v>87</v>
      </c>
      <c r="D14" s="13"/>
      <c r="E14">
        <f>E13/E2</f>
        <v>0.8008773739013211</v>
      </c>
    </row>
    <row r="15" spans="1:5" ht="26.25" thickBot="1">
      <c r="A15" s="42" t="s">
        <v>57</v>
      </c>
      <c r="B15" s="14" t="s">
        <v>58</v>
      </c>
      <c r="C15" s="14" t="s">
        <v>88</v>
      </c>
      <c r="D15" s="13" t="s">
        <v>89</v>
      </c>
      <c r="E15">
        <f>E2*1.84</f>
        <v>11967.36</v>
      </c>
    </row>
    <row r="16" spans="1:5" ht="64.5" thickBot="1">
      <c r="A16" s="43"/>
      <c r="B16" s="14" t="s">
        <v>90</v>
      </c>
      <c r="C16" s="14" t="s">
        <v>91</v>
      </c>
      <c r="D16" s="13" t="s">
        <v>92</v>
      </c>
      <c r="E16">
        <f>E2*5.95</f>
        <v>38698.8</v>
      </c>
    </row>
    <row r="17" spans="1:5" ht="51.75" thickBot="1">
      <c r="A17" s="43"/>
      <c r="B17" s="14" t="s">
        <v>93</v>
      </c>
      <c r="C17" s="14" t="s">
        <v>94</v>
      </c>
      <c r="D17" s="45" t="s">
        <v>95</v>
      </c>
      <c r="E17">
        <f>(E16*9.78)/(24*476.76)</f>
        <v>33.076938082053864</v>
      </c>
    </row>
    <row r="18" spans="1:5" ht="51.75" thickBot="1">
      <c r="A18" s="43"/>
      <c r="B18" s="14" t="s">
        <v>96</v>
      </c>
      <c r="C18" s="14" t="s">
        <v>97</v>
      </c>
      <c r="D18" s="46"/>
      <c r="E18">
        <f>($E$16*9.78)/(24*19.7)</f>
        <v>800.4954822335027</v>
      </c>
    </row>
    <row r="19" spans="1:5" ht="51.75" thickBot="1">
      <c r="A19" s="43"/>
      <c r="B19" s="14" t="s">
        <v>98</v>
      </c>
      <c r="C19" s="14" t="s">
        <v>99</v>
      </c>
      <c r="D19" s="46"/>
      <c r="E19">
        <f>($E$16*9.78)/(24*60.22)</f>
        <v>261.8691630687479</v>
      </c>
    </row>
    <row r="20" spans="1:5" ht="51.75" thickBot="1">
      <c r="A20" s="44"/>
      <c r="B20" s="14" t="s">
        <v>100</v>
      </c>
      <c r="C20" s="14" t="s">
        <v>101</v>
      </c>
      <c r="D20" s="47"/>
      <c r="E20">
        <f>($E$16*9.78)/(24*29.89)</f>
        <v>527.5932084309134</v>
      </c>
    </row>
    <row r="21" spans="1:5" ht="51.75" thickBot="1">
      <c r="A21" s="42" t="s">
        <v>102</v>
      </c>
      <c r="B21" s="14" t="s">
        <v>55</v>
      </c>
      <c r="C21" s="14" t="s">
        <v>103</v>
      </c>
      <c r="D21" s="13" t="s">
        <v>104</v>
      </c>
      <c r="E21">
        <f>E2*391</f>
        <v>2543064</v>
      </c>
    </row>
    <row r="22" spans="1:5" ht="51.75" thickBot="1">
      <c r="A22" s="43"/>
      <c r="B22" s="14" t="s">
        <v>53</v>
      </c>
      <c r="C22" s="14" t="s">
        <v>105</v>
      </c>
      <c r="D22" s="13" t="s">
        <v>106</v>
      </c>
      <c r="E22">
        <f>E2*101</f>
        <v>656904</v>
      </c>
    </row>
    <row r="23" spans="1:5" ht="64.5" thickBot="1">
      <c r="A23" s="43"/>
      <c r="B23" s="14" t="s">
        <v>54</v>
      </c>
      <c r="C23" s="14" t="s">
        <v>107</v>
      </c>
      <c r="D23" s="13" t="s">
        <v>108</v>
      </c>
      <c r="E23">
        <f>E4*85.1</f>
        <v>364817743</v>
      </c>
    </row>
    <row r="24" spans="1:5" ht="26.25" thickBot="1">
      <c r="A24" s="44"/>
      <c r="B24" s="14" t="s">
        <v>109</v>
      </c>
      <c r="C24" s="14" t="s">
        <v>110</v>
      </c>
      <c r="D24" s="13"/>
      <c r="E24">
        <f>E22+E23</f>
        <v>365474647</v>
      </c>
    </row>
    <row r="25" spans="1:5" ht="13.5" thickBot="1">
      <c r="A25" s="42" t="s">
        <v>34</v>
      </c>
      <c r="B25" s="14" t="s">
        <v>111</v>
      </c>
      <c r="C25" s="14" t="s">
        <v>112</v>
      </c>
      <c r="D25" s="13"/>
      <c r="E25">
        <f>E7/E10</f>
        <v>0.6907836935512213</v>
      </c>
    </row>
    <row r="26" spans="1:5" ht="13.5" thickBot="1">
      <c r="A26" s="43"/>
      <c r="B26" s="14" t="s">
        <v>29</v>
      </c>
      <c r="C26" s="14" t="s">
        <v>113</v>
      </c>
      <c r="D26" s="13"/>
      <c r="E26">
        <f>E10/B47</f>
        <v>621.4310344827586</v>
      </c>
    </row>
    <row r="27" spans="1:5" ht="26.25" thickBot="1">
      <c r="A27" s="43"/>
      <c r="B27" s="14" t="s">
        <v>31</v>
      </c>
      <c r="C27" s="14" t="s">
        <v>114</v>
      </c>
      <c r="D27" s="13"/>
      <c r="E27">
        <f>E2/E5</f>
        <v>0.5837110163787301</v>
      </c>
    </row>
    <row r="28" spans="1:5" ht="26.25" thickBot="1">
      <c r="A28" s="43"/>
      <c r="B28" s="14" t="s">
        <v>115</v>
      </c>
      <c r="C28" s="14" t="s">
        <v>116</v>
      </c>
      <c r="D28" s="13"/>
      <c r="E28">
        <f>E13/E6</f>
        <v>5.062105383726134</v>
      </c>
    </row>
    <row r="29" spans="1:5" s="20" customFormat="1" ht="30.75" thickBot="1">
      <c r="A29" s="43"/>
      <c r="B29" s="18" t="s">
        <v>41</v>
      </c>
      <c r="C29" s="19" t="s">
        <v>135</v>
      </c>
      <c r="D29" s="18" t="s">
        <v>141</v>
      </c>
      <c r="E29" s="20">
        <v>222</v>
      </c>
    </row>
    <row r="30" spans="1:5" s="20" customFormat="1" ht="30.75" thickBot="1">
      <c r="A30" s="43"/>
      <c r="B30" s="18" t="s">
        <v>39</v>
      </c>
      <c r="C30" s="18" t="s">
        <v>136</v>
      </c>
      <c r="D30" s="18" t="s">
        <v>141</v>
      </c>
      <c r="E30" s="20">
        <v>10801</v>
      </c>
    </row>
    <row r="31" spans="1:5" s="20" customFormat="1" ht="30.75" thickBot="1">
      <c r="A31" s="43"/>
      <c r="B31" s="18" t="s">
        <v>40</v>
      </c>
      <c r="C31" s="19" t="s">
        <v>137</v>
      </c>
      <c r="D31" s="18" t="s">
        <v>141</v>
      </c>
      <c r="E31" s="20">
        <v>3474</v>
      </c>
    </row>
    <row r="32" spans="1:5" s="20" customFormat="1" ht="30.75" thickBot="1">
      <c r="A32" s="43"/>
      <c r="B32" s="18" t="s">
        <v>42</v>
      </c>
      <c r="C32" s="19" t="s">
        <v>138</v>
      </c>
      <c r="D32" s="18" t="s">
        <v>141</v>
      </c>
      <c r="E32" s="20">
        <v>11384</v>
      </c>
    </row>
    <row r="33" spans="1:5" s="20" customFormat="1" ht="45.75" thickBot="1">
      <c r="A33" s="43"/>
      <c r="B33" s="18" t="s">
        <v>43</v>
      </c>
      <c r="C33" s="18" t="s">
        <v>139</v>
      </c>
      <c r="D33" s="18" t="s">
        <v>141</v>
      </c>
      <c r="E33" s="20">
        <v>9089</v>
      </c>
    </row>
    <row r="34" spans="1:5" s="20" customFormat="1" ht="30.75" thickBot="1">
      <c r="A34" s="43"/>
      <c r="B34" s="18" t="s">
        <v>37</v>
      </c>
      <c r="C34" s="18" t="s">
        <v>140</v>
      </c>
      <c r="D34" s="18" t="s">
        <v>141</v>
      </c>
      <c r="E34" s="20">
        <v>2926</v>
      </c>
    </row>
    <row r="35" spans="1:5" ht="13.5" thickBot="1">
      <c r="A35" s="44"/>
      <c r="B35" s="14" t="s">
        <v>117</v>
      </c>
      <c r="C35" s="14" t="s">
        <v>118</v>
      </c>
      <c r="D35" s="13"/>
      <c r="E35">
        <f>E8/E10</f>
        <v>0.013415688668164878</v>
      </c>
    </row>
    <row r="36" spans="1:5" ht="26.25" thickBot="1">
      <c r="A36" s="42" t="s">
        <v>119</v>
      </c>
      <c r="B36" s="11" t="s">
        <v>25</v>
      </c>
      <c r="C36" s="12" t="s">
        <v>120</v>
      </c>
      <c r="D36" s="13"/>
      <c r="E36" s="21">
        <f>E9/B48</f>
        <v>0.20034684806034483</v>
      </c>
    </row>
    <row r="37" spans="1:5" ht="15.75" thickBot="1">
      <c r="A37" s="43"/>
      <c r="B37" s="22" t="s">
        <v>121</v>
      </c>
      <c r="C37" s="23"/>
      <c r="D37" s="23" t="s">
        <v>122</v>
      </c>
      <c r="E37" s="24"/>
    </row>
    <row r="38" spans="1:5" ht="15.75" thickBot="1">
      <c r="A38" s="44"/>
      <c r="B38" s="22" t="s">
        <v>123</v>
      </c>
      <c r="C38" s="23"/>
      <c r="D38" s="23" t="s">
        <v>122</v>
      </c>
      <c r="E38" s="24"/>
    </row>
    <row r="39" spans="1:5" ht="26.25" thickBot="1">
      <c r="A39" s="42" t="s">
        <v>44</v>
      </c>
      <c r="B39" s="11" t="s">
        <v>48</v>
      </c>
      <c r="C39" s="14" t="s">
        <v>124</v>
      </c>
      <c r="D39" s="13" t="s">
        <v>122</v>
      </c>
      <c r="E39">
        <f>E10*0.39</f>
        <v>6747.2496</v>
      </c>
    </row>
    <row r="40" spans="1:4" ht="13.5" thickBot="1">
      <c r="A40" s="43"/>
      <c r="B40" s="11" t="s">
        <v>125</v>
      </c>
      <c r="C40" s="14"/>
      <c r="D40" s="13"/>
    </row>
    <row r="41" spans="1:5" ht="26.25" thickBot="1">
      <c r="A41" s="43"/>
      <c r="B41" s="11" t="s">
        <v>126</v>
      </c>
      <c r="C41" s="14" t="s">
        <v>127</v>
      </c>
      <c r="D41" s="13" t="s">
        <v>122</v>
      </c>
      <c r="E41">
        <f>E10*0.08</f>
        <v>1384.0511999999999</v>
      </c>
    </row>
    <row r="42" spans="1:5" ht="26.25" thickBot="1">
      <c r="A42" s="44"/>
      <c r="B42" s="11" t="s">
        <v>128</v>
      </c>
      <c r="C42" s="14" t="s">
        <v>129</v>
      </c>
      <c r="D42" s="13" t="s">
        <v>122</v>
      </c>
      <c r="E42">
        <f>E10*1.28</f>
        <v>22144.819199999998</v>
      </c>
    </row>
    <row r="46" spans="1:2" ht="12.75">
      <c r="A46" s="16" t="s">
        <v>133</v>
      </c>
      <c r="B46">
        <v>2.66</v>
      </c>
    </row>
    <row r="47" spans="1:2" ht="12.75">
      <c r="A47" s="16" t="s">
        <v>134</v>
      </c>
      <c r="B47">
        <v>27.84</v>
      </c>
    </row>
    <row r="48" spans="1:2" ht="12.75">
      <c r="A48" s="16" t="s">
        <v>142</v>
      </c>
      <c r="B48">
        <f>B47*640</f>
        <v>17817.6</v>
      </c>
    </row>
  </sheetData>
  <sheetProtection/>
  <mergeCells count="8">
    <mergeCell ref="A39:A42"/>
    <mergeCell ref="A15:A20"/>
    <mergeCell ref="A2:A8"/>
    <mergeCell ref="A10:A14"/>
    <mergeCell ref="D17:D20"/>
    <mergeCell ref="A21:A24"/>
    <mergeCell ref="A25:A35"/>
    <mergeCell ref="A36:A3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48"/>
  <sheetViews>
    <sheetView zoomScalePageLayoutView="0" workbookViewId="0" topLeftCell="A25">
      <selection activeCell="H35" sqref="H35"/>
    </sheetView>
  </sheetViews>
  <sheetFormatPr defaultColWidth="9.140625" defaultRowHeight="12.75"/>
  <cols>
    <col min="1" max="1" width="37.421875" style="0" bestFit="1" customWidth="1"/>
    <col min="2" max="4" width="30.00390625" style="0" customWidth="1"/>
    <col min="5" max="5" width="9.00390625" style="0" bestFit="1" customWidth="1"/>
  </cols>
  <sheetData>
    <row r="1" spans="1:5" ht="26.25" thickBot="1">
      <c r="A1" s="9" t="s">
        <v>0</v>
      </c>
      <c r="B1" s="10" t="s">
        <v>6</v>
      </c>
      <c r="C1" s="10" t="s">
        <v>69</v>
      </c>
      <c r="D1" s="10" t="s">
        <v>70</v>
      </c>
      <c r="E1" s="17" t="s">
        <v>131</v>
      </c>
    </row>
    <row r="2" spans="1:5" ht="13.5" thickBot="1">
      <c r="A2" s="42" t="s">
        <v>71</v>
      </c>
      <c r="B2" s="11" t="s">
        <v>72</v>
      </c>
      <c r="C2" s="12">
        <v>6525</v>
      </c>
      <c r="D2" s="13" t="s">
        <v>132</v>
      </c>
      <c r="E2">
        <f aca="true" t="shared" si="0" ref="E2:E9">C2</f>
        <v>6525</v>
      </c>
    </row>
    <row r="3" spans="1:5" ht="13.5" thickBot="1">
      <c r="A3" s="43"/>
      <c r="B3" s="11" t="s">
        <v>73</v>
      </c>
      <c r="C3" s="12">
        <v>6782</v>
      </c>
      <c r="D3" s="13" t="s">
        <v>132</v>
      </c>
      <c r="E3">
        <f t="shared" si="0"/>
        <v>6782</v>
      </c>
    </row>
    <row r="4" spans="1:5" ht="13.5" thickBot="1">
      <c r="A4" s="43"/>
      <c r="B4" s="11" t="s">
        <v>74</v>
      </c>
      <c r="C4" s="12">
        <v>4251580</v>
      </c>
      <c r="D4" s="13" t="s">
        <v>132</v>
      </c>
      <c r="E4">
        <f t="shared" si="0"/>
        <v>4251580</v>
      </c>
    </row>
    <row r="5" spans="1:5" ht="13.5" thickBot="1">
      <c r="A5" s="43"/>
      <c r="B5" s="11" t="s">
        <v>7</v>
      </c>
      <c r="C5" s="12">
        <v>11201</v>
      </c>
      <c r="D5" s="13" t="s">
        <v>132</v>
      </c>
      <c r="E5">
        <f t="shared" si="0"/>
        <v>11201</v>
      </c>
    </row>
    <row r="6" spans="1:5" ht="13.5" thickBot="1">
      <c r="A6" s="43"/>
      <c r="B6" s="11" t="s">
        <v>8</v>
      </c>
      <c r="C6" s="12">
        <v>749</v>
      </c>
      <c r="D6" s="13" t="s">
        <v>132</v>
      </c>
      <c r="E6">
        <f>C6+Existing!E6</f>
        <v>969.5</v>
      </c>
    </row>
    <row r="7" spans="1:5" ht="13.5" thickBot="1">
      <c r="A7" s="43"/>
      <c r="B7" s="11" t="s">
        <v>75</v>
      </c>
      <c r="C7" s="12">
        <f>C6+C5</f>
        <v>11950</v>
      </c>
      <c r="D7" s="13" t="s">
        <v>132</v>
      </c>
      <c r="E7">
        <f t="shared" si="0"/>
        <v>11950</v>
      </c>
    </row>
    <row r="8" spans="1:5" ht="13.5" thickBot="1">
      <c r="A8" s="44"/>
      <c r="B8" s="14" t="s">
        <v>76</v>
      </c>
      <c r="C8">
        <v>232.1</v>
      </c>
      <c r="D8" s="12" t="s">
        <v>130</v>
      </c>
      <c r="E8">
        <f t="shared" si="0"/>
        <v>232.1</v>
      </c>
    </row>
    <row r="9" spans="1:5" ht="13.5" thickBot="1">
      <c r="A9" s="15"/>
      <c r="B9" s="14" t="s">
        <v>77</v>
      </c>
      <c r="C9" s="12">
        <v>3569.7</v>
      </c>
      <c r="D9" s="13" t="s">
        <v>132</v>
      </c>
      <c r="E9">
        <f t="shared" si="0"/>
        <v>3569.7</v>
      </c>
    </row>
    <row r="10" spans="1:5" ht="26.25" thickBot="1">
      <c r="A10" s="42" t="s">
        <v>15</v>
      </c>
      <c r="B10" s="11" t="s">
        <v>16</v>
      </c>
      <c r="C10" s="13" t="s">
        <v>78</v>
      </c>
      <c r="D10" s="13" t="s">
        <v>79</v>
      </c>
      <c r="E10">
        <f>B46*C2</f>
        <v>17356.5</v>
      </c>
    </row>
    <row r="11" spans="1:5" ht="39" thickBot="1">
      <c r="A11" s="43"/>
      <c r="B11" s="11" t="s">
        <v>17</v>
      </c>
      <c r="C11" s="14" t="s">
        <v>80</v>
      </c>
      <c r="D11" s="13" t="s">
        <v>81</v>
      </c>
      <c r="E11">
        <f>E10*0.189</f>
        <v>3280.3785</v>
      </c>
    </row>
    <row r="12" spans="1:5" ht="51.75" thickBot="1">
      <c r="A12" s="43"/>
      <c r="B12" s="11" t="s">
        <v>82</v>
      </c>
      <c r="C12" s="14" t="s">
        <v>83</v>
      </c>
      <c r="D12" s="13" t="s">
        <v>84</v>
      </c>
      <c r="E12">
        <f>E10*0.4089</f>
        <v>7097.07285</v>
      </c>
    </row>
    <row r="13" spans="1:5" ht="64.5" thickBot="1">
      <c r="A13" s="43"/>
      <c r="B13" s="11" t="s">
        <v>21</v>
      </c>
      <c r="C13" s="14" t="s">
        <v>85</v>
      </c>
      <c r="D13" s="13" t="s">
        <v>86</v>
      </c>
      <c r="E13">
        <f>C4/823</f>
        <v>5165.95382746051</v>
      </c>
    </row>
    <row r="14" spans="1:5" ht="13.5" thickBot="1">
      <c r="A14" s="44"/>
      <c r="B14" s="11" t="s">
        <v>23</v>
      </c>
      <c r="C14" s="14" t="s">
        <v>87</v>
      </c>
      <c r="D14" s="13"/>
      <c r="E14">
        <f>E13/E2</f>
        <v>0.7917170616797716</v>
      </c>
    </row>
    <row r="15" spans="1:5" ht="26.25" thickBot="1">
      <c r="A15" s="42" t="s">
        <v>57</v>
      </c>
      <c r="B15" s="14" t="s">
        <v>58</v>
      </c>
      <c r="C15" s="14" t="s">
        <v>88</v>
      </c>
      <c r="D15" s="13" t="s">
        <v>89</v>
      </c>
      <c r="E15">
        <f>E2*1.84</f>
        <v>12006</v>
      </c>
    </row>
    <row r="16" spans="1:5" ht="64.5" thickBot="1">
      <c r="A16" s="43"/>
      <c r="B16" s="14" t="s">
        <v>90</v>
      </c>
      <c r="C16" s="14" t="s">
        <v>91</v>
      </c>
      <c r="D16" s="13" t="s">
        <v>92</v>
      </c>
      <c r="E16">
        <f>E2*5.95</f>
        <v>38823.75</v>
      </c>
    </row>
    <row r="17" spans="1:5" ht="51.75" thickBot="1">
      <c r="A17" s="43"/>
      <c r="B17" s="14" t="s">
        <v>93</v>
      </c>
      <c r="C17" s="14" t="s">
        <v>94</v>
      </c>
      <c r="D17" s="45" t="s">
        <v>95</v>
      </c>
      <c r="E17">
        <f>(E16*9.78)/(24*476.76)</f>
        <v>33.18373631386861</v>
      </c>
    </row>
    <row r="18" spans="1:5" ht="51.75" thickBot="1">
      <c r="A18" s="43"/>
      <c r="B18" s="14" t="s">
        <v>96</v>
      </c>
      <c r="C18" s="14" t="s">
        <v>97</v>
      </c>
      <c r="D18" s="46"/>
      <c r="E18">
        <f>($E$16*9.78)/(24*19.7)</f>
        <v>803.0801078680203</v>
      </c>
    </row>
    <row r="19" spans="1:5" ht="51.75" thickBot="1">
      <c r="A19" s="43"/>
      <c r="B19" s="14" t="s">
        <v>98</v>
      </c>
      <c r="C19" s="14" t="s">
        <v>99</v>
      </c>
      <c r="D19" s="46"/>
      <c r="E19">
        <f>($E$16*9.78)/(24*60.22)</f>
        <v>262.7146815841913</v>
      </c>
    </row>
    <row r="20" spans="1:5" ht="51.75" thickBot="1">
      <c r="A20" s="44"/>
      <c r="B20" s="14" t="s">
        <v>100</v>
      </c>
      <c r="C20" s="14" t="s">
        <v>101</v>
      </c>
      <c r="D20" s="47"/>
      <c r="E20">
        <f>($E$16*9.78)/(24*29.89)</f>
        <v>529.2966920374706</v>
      </c>
    </row>
    <row r="21" spans="1:5" ht="64.5" thickBot="1">
      <c r="A21" s="42" t="s">
        <v>102</v>
      </c>
      <c r="B21" s="14" t="s">
        <v>55</v>
      </c>
      <c r="C21" s="14" t="s">
        <v>103</v>
      </c>
      <c r="D21" s="13" t="s">
        <v>104</v>
      </c>
      <c r="E21">
        <f>E2*391</f>
        <v>2551275</v>
      </c>
    </row>
    <row r="22" spans="1:5" ht="51.75" thickBot="1">
      <c r="A22" s="43"/>
      <c r="B22" s="14" t="s">
        <v>53</v>
      </c>
      <c r="C22" s="14" t="s">
        <v>105</v>
      </c>
      <c r="D22" s="13" t="s">
        <v>106</v>
      </c>
      <c r="E22">
        <f>E2*101</f>
        <v>659025</v>
      </c>
    </row>
    <row r="23" spans="1:5" ht="77.25" thickBot="1">
      <c r="A23" s="43"/>
      <c r="B23" s="14" t="s">
        <v>54</v>
      </c>
      <c r="C23" s="14" t="s">
        <v>107</v>
      </c>
      <c r="D23" s="13" t="s">
        <v>108</v>
      </c>
      <c r="E23">
        <f>E4*85.1</f>
        <v>361809458</v>
      </c>
    </row>
    <row r="24" spans="1:5" ht="26.25" thickBot="1">
      <c r="A24" s="44"/>
      <c r="B24" s="14" t="s">
        <v>109</v>
      </c>
      <c r="C24" s="14" t="s">
        <v>110</v>
      </c>
      <c r="D24" s="13"/>
      <c r="E24">
        <f>E22+E23</f>
        <v>362468483</v>
      </c>
    </row>
    <row r="25" spans="1:5" ht="13.5" thickBot="1">
      <c r="A25" s="42" t="s">
        <v>34</v>
      </c>
      <c r="B25" s="14" t="s">
        <v>111</v>
      </c>
      <c r="C25" s="14" t="s">
        <v>112</v>
      </c>
      <c r="D25" s="13"/>
      <c r="E25">
        <f>E7/E10</f>
        <v>0.6885028663613055</v>
      </c>
    </row>
    <row r="26" spans="1:5" ht="13.5" thickBot="1">
      <c r="A26" s="43"/>
      <c r="B26" s="14" t="s">
        <v>29</v>
      </c>
      <c r="C26" s="14" t="s">
        <v>113</v>
      </c>
      <c r="D26" s="13"/>
      <c r="E26">
        <f>E10/B47</f>
        <v>623.4375</v>
      </c>
    </row>
    <row r="27" spans="1:5" ht="26.25" thickBot="1">
      <c r="A27" s="43"/>
      <c r="B27" s="14" t="s">
        <v>31</v>
      </c>
      <c r="C27" s="14" t="s">
        <v>114</v>
      </c>
      <c r="D27" s="13"/>
      <c r="E27">
        <f>E2/E5</f>
        <v>0.582537273457727</v>
      </c>
    </row>
    <row r="28" spans="1:5" ht="26.25" thickBot="1">
      <c r="A28" s="43"/>
      <c r="B28" s="14" t="s">
        <v>115</v>
      </c>
      <c r="C28" s="14" t="s">
        <v>116</v>
      </c>
      <c r="D28" s="13"/>
      <c r="E28">
        <f>E13/E6</f>
        <v>5.32847223049047</v>
      </c>
    </row>
    <row r="29" spans="1:5" ht="45.75" thickBot="1">
      <c r="A29" s="43"/>
      <c r="B29" s="18" t="s">
        <v>41</v>
      </c>
      <c r="C29" s="19" t="s">
        <v>135</v>
      </c>
      <c r="D29" s="18" t="s">
        <v>141</v>
      </c>
      <c r="E29" s="20">
        <v>250</v>
      </c>
    </row>
    <row r="30" spans="1:5" ht="45.75" thickBot="1">
      <c r="A30" s="43"/>
      <c r="B30" s="18" t="s">
        <v>39</v>
      </c>
      <c r="C30" s="18" t="s">
        <v>136</v>
      </c>
      <c r="D30" s="18" t="s">
        <v>141</v>
      </c>
      <c r="E30" s="20">
        <v>10613</v>
      </c>
    </row>
    <row r="31" spans="1:5" ht="45.75" thickBot="1">
      <c r="A31" s="43"/>
      <c r="B31" s="18" t="s">
        <v>40</v>
      </c>
      <c r="C31" s="19" t="s">
        <v>137</v>
      </c>
      <c r="D31" s="18" t="s">
        <v>141</v>
      </c>
      <c r="E31" s="20">
        <v>3370</v>
      </c>
    </row>
    <row r="32" spans="1:5" ht="45.75" thickBot="1">
      <c r="A32" s="43"/>
      <c r="B32" s="18" t="s">
        <v>42</v>
      </c>
      <c r="C32" s="19" t="s">
        <v>138</v>
      </c>
      <c r="D32" s="18" t="s">
        <v>141</v>
      </c>
      <c r="E32" s="20">
        <v>11107</v>
      </c>
    </row>
    <row r="33" spans="1:5" ht="45.75" thickBot="1">
      <c r="A33" s="43"/>
      <c r="B33" s="18" t="s">
        <v>43</v>
      </c>
      <c r="C33" s="18" t="s">
        <v>139</v>
      </c>
      <c r="D33" s="18" t="s">
        <v>141</v>
      </c>
      <c r="E33" s="20">
        <v>8835</v>
      </c>
    </row>
    <row r="34" spans="1:5" ht="45.75" thickBot="1">
      <c r="A34" s="43"/>
      <c r="B34" s="18" t="s">
        <v>37</v>
      </c>
      <c r="C34" s="18" t="s">
        <v>140</v>
      </c>
      <c r="D34" s="18" t="s">
        <v>141</v>
      </c>
      <c r="E34" s="20">
        <v>2818</v>
      </c>
    </row>
    <row r="35" spans="1:5" ht="26.25" thickBot="1">
      <c r="A35" s="44"/>
      <c r="B35" s="14" t="s">
        <v>117</v>
      </c>
      <c r="C35" s="14" t="s">
        <v>118</v>
      </c>
      <c r="D35" s="13"/>
      <c r="E35">
        <f>E8/E10</f>
        <v>0.01337251173911791</v>
      </c>
    </row>
    <row r="36" spans="1:5" ht="39" thickBot="1">
      <c r="A36" s="42" t="s">
        <v>119</v>
      </c>
      <c r="B36" s="11" t="s">
        <v>25</v>
      </c>
      <c r="C36" s="12" t="s">
        <v>120</v>
      </c>
      <c r="D36" s="13"/>
      <c r="E36" s="21">
        <f>E9/B48</f>
        <v>0.20034684806034483</v>
      </c>
    </row>
    <row r="37" spans="1:5" ht="15.75" thickBot="1">
      <c r="A37" s="43"/>
      <c r="B37" s="22" t="s">
        <v>121</v>
      </c>
      <c r="C37" s="23"/>
      <c r="D37" s="23" t="s">
        <v>122</v>
      </c>
      <c r="E37" s="24"/>
    </row>
    <row r="38" spans="1:5" ht="15.75" thickBot="1">
      <c r="A38" s="44"/>
      <c r="B38" s="22" t="s">
        <v>123</v>
      </c>
      <c r="C38" s="23"/>
      <c r="D38" s="23" t="s">
        <v>122</v>
      </c>
      <c r="E38" s="24"/>
    </row>
    <row r="39" spans="1:5" ht="39" thickBot="1">
      <c r="A39" s="42" t="s">
        <v>44</v>
      </c>
      <c r="B39" s="11" t="s">
        <v>48</v>
      </c>
      <c r="C39" s="14" t="s">
        <v>124</v>
      </c>
      <c r="D39" s="13" t="s">
        <v>122</v>
      </c>
      <c r="E39">
        <f>E10*0.39</f>
        <v>6769.035</v>
      </c>
    </row>
    <row r="40" spans="1:4" ht="13.5" thickBot="1">
      <c r="A40" s="43"/>
      <c r="B40" s="11" t="s">
        <v>125</v>
      </c>
      <c r="C40" s="14"/>
      <c r="D40" s="13"/>
    </row>
    <row r="41" spans="1:5" ht="26.25" thickBot="1">
      <c r="A41" s="43"/>
      <c r="B41" s="11" t="s">
        <v>126</v>
      </c>
      <c r="C41" s="14" t="s">
        <v>127</v>
      </c>
      <c r="D41" s="13" t="s">
        <v>122</v>
      </c>
      <c r="E41">
        <f>E10*0.08</f>
        <v>1388.52</v>
      </c>
    </row>
    <row r="42" spans="1:5" ht="26.25" thickBot="1">
      <c r="A42" s="44"/>
      <c r="B42" s="11" t="s">
        <v>128</v>
      </c>
      <c r="C42" s="14" t="s">
        <v>129</v>
      </c>
      <c r="D42" s="13" t="s">
        <v>122</v>
      </c>
      <c r="E42">
        <f>E10*1.28</f>
        <v>22216.32</v>
      </c>
    </row>
    <row r="46" spans="1:2" ht="12.75">
      <c r="A46" s="16" t="s">
        <v>133</v>
      </c>
      <c r="B46">
        <v>2.66</v>
      </c>
    </row>
    <row r="47" spans="1:2" ht="12.75">
      <c r="A47" s="16" t="s">
        <v>134</v>
      </c>
      <c r="B47">
        <v>27.84</v>
      </c>
    </row>
    <row r="48" spans="1:2" ht="12.75">
      <c r="A48" s="16" t="s">
        <v>142</v>
      </c>
      <c r="B48">
        <f>B47*640</f>
        <v>17817.6</v>
      </c>
    </row>
  </sheetData>
  <sheetProtection/>
  <mergeCells count="8">
    <mergeCell ref="A36:A38"/>
    <mergeCell ref="A39:A42"/>
    <mergeCell ref="A2:A8"/>
    <mergeCell ref="A10:A14"/>
    <mergeCell ref="A15:A20"/>
    <mergeCell ref="D17:D20"/>
    <mergeCell ref="A21:A24"/>
    <mergeCell ref="A25:A3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8"/>
  <sheetViews>
    <sheetView zoomScalePageLayoutView="0" workbookViewId="0" topLeftCell="A28">
      <selection activeCell="G34" sqref="G34"/>
    </sheetView>
  </sheetViews>
  <sheetFormatPr defaultColWidth="9.140625" defaultRowHeight="12.75"/>
  <cols>
    <col min="1" max="1" width="37.421875" style="0" bestFit="1" customWidth="1"/>
    <col min="2" max="5" width="20.8515625" style="0" customWidth="1"/>
  </cols>
  <sheetData>
    <row r="1" spans="1:5" ht="13.5" thickBot="1">
      <c r="A1" s="9" t="s">
        <v>0</v>
      </c>
      <c r="B1" s="10" t="s">
        <v>6</v>
      </c>
      <c r="C1" s="10" t="s">
        <v>69</v>
      </c>
      <c r="D1" s="10" t="s">
        <v>70</v>
      </c>
      <c r="E1" s="17" t="s">
        <v>131</v>
      </c>
    </row>
    <row r="2" spans="1:5" ht="13.5" thickBot="1">
      <c r="A2" s="42" t="s">
        <v>71</v>
      </c>
      <c r="B2" s="11" t="s">
        <v>72</v>
      </c>
      <c r="C2" s="12">
        <v>6522</v>
      </c>
      <c r="D2" s="13" t="s">
        <v>132</v>
      </c>
      <c r="E2">
        <f aca="true" t="shared" si="0" ref="E2:E9">C2</f>
        <v>6522</v>
      </c>
    </row>
    <row r="3" spans="1:5" ht="13.5" thickBot="1">
      <c r="A3" s="43"/>
      <c r="B3" s="11" t="s">
        <v>73</v>
      </c>
      <c r="C3" s="12">
        <v>6815</v>
      </c>
      <c r="D3" s="13" t="s">
        <v>132</v>
      </c>
      <c r="E3">
        <f t="shared" si="0"/>
        <v>6815</v>
      </c>
    </row>
    <row r="4" spans="1:5" ht="39" customHeight="1" thickBot="1">
      <c r="A4" s="43"/>
      <c r="B4" s="11" t="s">
        <v>74</v>
      </c>
      <c r="C4" s="12">
        <v>4255770</v>
      </c>
      <c r="D4" s="13" t="s">
        <v>132</v>
      </c>
      <c r="E4">
        <f t="shared" si="0"/>
        <v>4255770</v>
      </c>
    </row>
    <row r="5" spans="1:5" ht="26.25" thickBot="1">
      <c r="A5" s="43"/>
      <c r="B5" s="11" t="s">
        <v>7</v>
      </c>
      <c r="C5" s="12">
        <v>11107</v>
      </c>
      <c r="D5" s="13" t="s">
        <v>132</v>
      </c>
      <c r="E5">
        <f t="shared" si="0"/>
        <v>11107</v>
      </c>
    </row>
    <row r="6" spans="1:5" ht="26.25" thickBot="1">
      <c r="A6" s="43"/>
      <c r="B6" s="11" t="s">
        <v>8</v>
      </c>
      <c r="C6" s="12">
        <v>843</v>
      </c>
      <c r="D6" s="13" t="s">
        <v>132</v>
      </c>
      <c r="E6">
        <f>C6+Existing!E6</f>
        <v>1063.5</v>
      </c>
    </row>
    <row r="7" spans="1:5" ht="13.5" thickBot="1">
      <c r="A7" s="43"/>
      <c r="B7" s="11" t="s">
        <v>75</v>
      </c>
      <c r="C7" s="12">
        <f>C6+C5</f>
        <v>11950</v>
      </c>
      <c r="D7" s="13" t="s">
        <v>132</v>
      </c>
      <c r="E7">
        <f t="shared" si="0"/>
        <v>11950</v>
      </c>
    </row>
    <row r="8" spans="1:5" ht="26.25" thickBot="1">
      <c r="A8" s="44"/>
      <c r="B8" s="14" t="s">
        <v>76</v>
      </c>
      <c r="C8" s="25">
        <v>232.1</v>
      </c>
      <c r="D8" s="12" t="s">
        <v>130</v>
      </c>
      <c r="E8">
        <f t="shared" si="0"/>
        <v>232.1</v>
      </c>
    </row>
    <row r="9" spans="1:5" ht="13.5" thickBot="1">
      <c r="A9" s="15"/>
      <c r="B9" s="14" t="s">
        <v>77</v>
      </c>
      <c r="C9" s="12">
        <v>3569.7</v>
      </c>
      <c r="D9" s="13" t="s">
        <v>132</v>
      </c>
      <c r="E9">
        <f t="shared" si="0"/>
        <v>3569.7</v>
      </c>
    </row>
    <row r="10" spans="1:5" ht="39" thickBot="1">
      <c r="A10" s="42" t="s">
        <v>15</v>
      </c>
      <c r="B10" s="11" t="s">
        <v>16</v>
      </c>
      <c r="C10" s="13" t="s">
        <v>78</v>
      </c>
      <c r="D10" s="13" t="s">
        <v>79</v>
      </c>
      <c r="E10">
        <f>B46*C2</f>
        <v>17348.52</v>
      </c>
    </row>
    <row r="11" spans="1:5" ht="51.75" thickBot="1">
      <c r="A11" s="43"/>
      <c r="B11" s="11" t="s">
        <v>17</v>
      </c>
      <c r="C11" s="14" t="s">
        <v>80</v>
      </c>
      <c r="D11" s="13" t="s">
        <v>81</v>
      </c>
      <c r="E11">
        <f>E10*0.189</f>
        <v>3278.87028</v>
      </c>
    </row>
    <row r="12" spans="1:5" ht="77.25" thickBot="1">
      <c r="A12" s="43"/>
      <c r="B12" s="11" t="s">
        <v>82</v>
      </c>
      <c r="C12" s="14" t="s">
        <v>83</v>
      </c>
      <c r="D12" s="13" t="s">
        <v>84</v>
      </c>
      <c r="E12">
        <f>E10*0.4089</f>
        <v>7093.809828</v>
      </c>
    </row>
    <row r="13" spans="1:5" ht="90" thickBot="1">
      <c r="A13" s="43"/>
      <c r="B13" s="11" t="s">
        <v>21</v>
      </c>
      <c r="C13" s="14" t="s">
        <v>85</v>
      </c>
      <c r="D13" s="13" t="s">
        <v>86</v>
      </c>
      <c r="E13">
        <f>C4/823</f>
        <v>5171.044957472661</v>
      </c>
    </row>
    <row r="14" spans="1:5" ht="26.25" thickBot="1">
      <c r="A14" s="44"/>
      <c r="B14" s="11" t="s">
        <v>23</v>
      </c>
      <c r="C14" s="14" t="s">
        <v>87</v>
      </c>
      <c r="D14" s="13"/>
      <c r="E14">
        <f>E13/E2</f>
        <v>0.7928618456719811</v>
      </c>
    </row>
    <row r="15" spans="1:5" ht="39" thickBot="1">
      <c r="A15" s="42" t="s">
        <v>57</v>
      </c>
      <c r="B15" s="14" t="s">
        <v>58</v>
      </c>
      <c r="C15" s="14" t="s">
        <v>88</v>
      </c>
      <c r="D15" s="13" t="s">
        <v>89</v>
      </c>
      <c r="E15">
        <f>E2*1.84</f>
        <v>12000.480000000001</v>
      </c>
    </row>
    <row r="16" spans="1:5" ht="102.75" thickBot="1">
      <c r="A16" s="43"/>
      <c r="B16" s="14" t="s">
        <v>90</v>
      </c>
      <c r="C16" s="14" t="s">
        <v>91</v>
      </c>
      <c r="D16" s="13" t="s">
        <v>92</v>
      </c>
      <c r="E16">
        <f>E2*5.95</f>
        <v>38805.9</v>
      </c>
    </row>
    <row r="17" spans="1:5" ht="77.25" thickBot="1">
      <c r="A17" s="43"/>
      <c r="B17" s="14" t="s">
        <v>93</v>
      </c>
      <c r="C17" s="14" t="s">
        <v>94</v>
      </c>
      <c r="D17" s="45" t="s">
        <v>95</v>
      </c>
      <c r="E17">
        <f>(E16*9.78)/(24*476.76)</f>
        <v>33.16847942360936</v>
      </c>
    </row>
    <row r="18" spans="1:5" ht="77.25" thickBot="1">
      <c r="A18" s="43"/>
      <c r="B18" s="14" t="s">
        <v>96</v>
      </c>
      <c r="C18" s="14" t="s">
        <v>97</v>
      </c>
      <c r="D18" s="46"/>
      <c r="E18">
        <f>($E$16*9.78)/(24*19.7)</f>
        <v>802.7108756345178</v>
      </c>
    </row>
    <row r="19" spans="1:5" ht="77.25" thickBot="1">
      <c r="A19" s="43"/>
      <c r="B19" s="14" t="s">
        <v>98</v>
      </c>
      <c r="C19" s="14" t="s">
        <v>99</v>
      </c>
      <c r="D19" s="46"/>
      <c r="E19">
        <f>($E$16*9.78)/(24*60.22)</f>
        <v>262.59389322484225</v>
      </c>
    </row>
    <row r="20" spans="1:5" ht="77.25" thickBot="1">
      <c r="A20" s="44"/>
      <c r="B20" s="14" t="s">
        <v>100</v>
      </c>
      <c r="C20" s="14" t="s">
        <v>101</v>
      </c>
      <c r="D20" s="47"/>
      <c r="E20">
        <f>($E$16*9.78)/(24*29.89)</f>
        <v>529.0533372365339</v>
      </c>
    </row>
    <row r="21" spans="1:5" ht="90" thickBot="1">
      <c r="A21" s="42" t="s">
        <v>102</v>
      </c>
      <c r="B21" s="14" t="s">
        <v>55</v>
      </c>
      <c r="C21" s="14" t="s">
        <v>103</v>
      </c>
      <c r="D21" s="13" t="s">
        <v>104</v>
      </c>
      <c r="E21">
        <f>E2*391</f>
        <v>2550102</v>
      </c>
    </row>
    <row r="22" spans="1:5" ht="90" thickBot="1">
      <c r="A22" s="43"/>
      <c r="B22" s="14" t="s">
        <v>53</v>
      </c>
      <c r="C22" s="14" t="s">
        <v>105</v>
      </c>
      <c r="D22" s="13" t="s">
        <v>106</v>
      </c>
      <c r="E22">
        <f>E2*101</f>
        <v>658722</v>
      </c>
    </row>
    <row r="23" spans="1:5" ht="115.5" thickBot="1">
      <c r="A23" s="43"/>
      <c r="B23" s="14" t="s">
        <v>54</v>
      </c>
      <c r="C23" s="14" t="s">
        <v>107</v>
      </c>
      <c r="D23" s="13" t="s">
        <v>108</v>
      </c>
      <c r="E23">
        <f>E4*85.1</f>
        <v>362166027</v>
      </c>
    </row>
    <row r="24" spans="1:5" ht="26.25" thickBot="1">
      <c r="A24" s="44"/>
      <c r="B24" s="14" t="s">
        <v>109</v>
      </c>
      <c r="C24" s="14" t="s">
        <v>110</v>
      </c>
      <c r="D24" s="13"/>
      <c r="E24">
        <f>E22+E23</f>
        <v>362824749</v>
      </c>
    </row>
    <row r="25" spans="1:5" ht="26.25" thickBot="1">
      <c r="A25" s="42" t="s">
        <v>34</v>
      </c>
      <c r="B25" s="14" t="s">
        <v>111</v>
      </c>
      <c r="C25" s="14" t="s">
        <v>112</v>
      </c>
      <c r="D25" s="13"/>
      <c r="E25">
        <f>E7/E10</f>
        <v>0.6888195650118857</v>
      </c>
    </row>
    <row r="26" spans="1:5" ht="26.25" thickBot="1">
      <c r="A26" s="43"/>
      <c r="B26" s="14" t="s">
        <v>29</v>
      </c>
      <c r="C26" s="14" t="s">
        <v>113</v>
      </c>
      <c r="D26" s="13"/>
      <c r="E26">
        <f>E10/B47</f>
        <v>623.1508620689656</v>
      </c>
    </row>
    <row r="27" spans="1:5" ht="39" thickBot="1">
      <c r="A27" s="43"/>
      <c r="B27" s="14" t="s">
        <v>31</v>
      </c>
      <c r="C27" s="14" t="s">
        <v>114</v>
      </c>
      <c r="D27" s="13"/>
      <c r="E27">
        <f>E2/E5</f>
        <v>0.5871972629873053</v>
      </c>
    </row>
    <row r="28" spans="1:5" ht="39" thickBot="1">
      <c r="A28" s="43"/>
      <c r="B28" s="14" t="s">
        <v>115</v>
      </c>
      <c r="C28" s="14" t="s">
        <v>116</v>
      </c>
      <c r="D28" s="13"/>
      <c r="E28">
        <f>E13/E6</f>
        <v>4.862289569790937</v>
      </c>
    </row>
    <row r="29" spans="1:5" ht="75.75" thickBot="1">
      <c r="A29" s="43"/>
      <c r="B29" s="18" t="s">
        <v>41</v>
      </c>
      <c r="C29" s="19" t="s">
        <v>135</v>
      </c>
      <c r="D29" s="18" t="s">
        <v>141</v>
      </c>
      <c r="E29" s="20">
        <v>221</v>
      </c>
    </row>
    <row r="30" spans="1:5" ht="60.75" thickBot="1">
      <c r="A30" s="43"/>
      <c r="B30" s="18" t="s">
        <v>39</v>
      </c>
      <c r="C30" s="18" t="s">
        <v>136</v>
      </c>
      <c r="D30" s="18" t="s">
        <v>141</v>
      </c>
      <c r="E30" s="20">
        <v>10806</v>
      </c>
    </row>
    <row r="31" spans="1:5" ht="60.75" thickBot="1">
      <c r="A31" s="43"/>
      <c r="B31" s="18" t="s">
        <v>40</v>
      </c>
      <c r="C31" s="19" t="s">
        <v>137</v>
      </c>
      <c r="D31" s="18" t="s">
        <v>141</v>
      </c>
      <c r="E31" s="20">
        <v>3467</v>
      </c>
    </row>
    <row r="32" spans="1:5" ht="60.75" thickBot="1">
      <c r="A32" s="43"/>
      <c r="B32" s="18" t="s">
        <v>42</v>
      </c>
      <c r="C32" s="19" t="s">
        <v>138</v>
      </c>
      <c r="D32" s="18" t="s">
        <v>141</v>
      </c>
      <c r="E32" s="20">
        <v>11390</v>
      </c>
    </row>
    <row r="33" spans="1:5" ht="60.75" thickBot="1">
      <c r="A33" s="43"/>
      <c r="B33" s="18" t="s">
        <v>43</v>
      </c>
      <c r="C33" s="18" t="s">
        <v>139</v>
      </c>
      <c r="D33" s="18" t="s">
        <v>141</v>
      </c>
      <c r="E33" s="20">
        <v>9115</v>
      </c>
    </row>
    <row r="34" spans="1:5" ht="60.75" thickBot="1">
      <c r="A34" s="43"/>
      <c r="B34" s="18" t="s">
        <v>37</v>
      </c>
      <c r="C34" s="18" t="s">
        <v>140</v>
      </c>
      <c r="D34" s="18" t="s">
        <v>141</v>
      </c>
      <c r="E34" s="20">
        <v>2926</v>
      </c>
    </row>
    <row r="35" spans="1:5" ht="26.25" thickBot="1">
      <c r="A35" s="44"/>
      <c r="B35" s="14" t="s">
        <v>117</v>
      </c>
      <c r="C35" s="14" t="s">
        <v>118</v>
      </c>
      <c r="D35" s="13"/>
      <c r="E35">
        <f>E8/E10</f>
        <v>0.013378662848473529</v>
      </c>
    </row>
    <row r="36" spans="1:5" ht="51.75" thickBot="1">
      <c r="A36" s="42" t="s">
        <v>119</v>
      </c>
      <c r="B36" s="11" t="s">
        <v>25</v>
      </c>
      <c r="C36" s="12" t="s">
        <v>120</v>
      </c>
      <c r="D36" s="13"/>
      <c r="E36" s="21">
        <f>E9/B48</f>
        <v>0.20034684806034483</v>
      </c>
    </row>
    <row r="37" spans="1:5" ht="15.75" thickBot="1">
      <c r="A37" s="43"/>
      <c r="B37" s="22" t="s">
        <v>121</v>
      </c>
      <c r="C37" s="23"/>
      <c r="D37" s="23" t="s">
        <v>122</v>
      </c>
      <c r="E37" s="24"/>
    </row>
    <row r="38" spans="1:5" ht="15.75" thickBot="1">
      <c r="A38" s="44"/>
      <c r="B38" s="22" t="s">
        <v>123</v>
      </c>
      <c r="C38" s="23"/>
      <c r="D38" s="23" t="s">
        <v>122</v>
      </c>
      <c r="E38" s="24"/>
    </row>
    <row r="39" spans="1:5" ht="51.75" thickBot="1">
      <c r="A39" s="42" t="s">
        <v>44</v>
      </c>
      <c r="B39" s="11" t="s">
        <v>48</v>
      </c>
      <c r="C39" s="14" t="s">
        <v>124</v>
      </c>
      <c r="D39" s="13" t="s">
        <v>122</v>
      </c>
      <c r="E39">
        <f>E10*0.39</f>
        <v>6765.9228</v>
      </c>
    </row>
    <row r="40" spans="1:4" ht="13.5" thickBot="1">
      <c r="A40" s="43"/>
      <c r="B40" s="11" t="s">
        <v>125</v>
      </c>
      <c r="C40" s="14"/>
      <c r="D40" s="13"/>
    </row>
    <row r="41" spans="1:5" ht="39" thickBot="1">
      <c r="A41" s="43"/>
      <c r="B41" s="11" t="s">
        <v>126</v>
      </c>
      <c r="C41" s="14" t="s">
        <v>127</v>
      </c>
      <c r="D41" s="13" t="s">
        <v>122</v>
      </c>
      <c r="E41">
        <f>E10*0.08</f>
        <v>1387.8816000000002</v>
      </c>
    </row>
    <row r="42" spans="1:5" ht="39" thickBot="1">
      <c r="A42" s="44"/>
      <c r="B42" s="11" t="s">
        <v>128</v>
      </c>
      <c r="C42" s="14" t="s">
        <v>129</v>
      </c>
      <c r="D42" s="13" t="s">
        <v>122</v>
      </c>
      <c r="E42">
        <f>E10*1.28</f>
        <v>22206.105600000003</v>
      </c>
    </row>
    <row r="46" spans="1:2" ht="12.75">
      <c r="A46" s="16" t="s">
        <v>133</v>
      </c>
      <c r="B46">
        <v>2.66</v>
      </c>
    </row>
    <row r="47" spans="1:2" ht="12.75">
      <c r="A47" s="16" t="s">
        <v>134</v>
      </c>
      <c r="B47">
        <v>27.84</v>
      </c>
    </row>
    <row r="48" spans="1:2" ht="12.75">
      <c r="A48" s="16" t="s">
        <v>142</v>
      </c>
      <c r="B48">
        <f>B47*640</f>
        <v>17817.6</v>
      </c>
    </row>
  </sheetData>
  <sheetProtection/>
  <mergeCells count="8">
    <mergeCell ref="A36:A38"/>
    <mergeCell ref="A39:A42"/>
    <mergeCell ref="A2:A8"/>
    <mergeCell ref="A10:A14"/>
    <mergeCell ref="A15:A20"/>
    <mergeCell ref="D17:D20"/>
    <mergeCell ref="A21:A24"/>
    <mergeCell ref="A25:A3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48"/>
  <sheetViews>
    <sheetView zoomScalePageLayoutView="0" workbookViewId="0" topLeftCell="A25">
      <selection activeCell="J34" sqref="J34"/>
    </sheetView>
  </sheetViews>
  <sheetFormatPr defaultColWidth="9.140625" defaultRowHeight="12.75"/>
  <cols>
    <col min="1" max="1" width="37.421875" style="0" bestFit="1" customWidth="1"/>
    <col min="2" max="2" width="13.8515625" style="0" customWidth="1"/>
    <col min="3" max="3" width="19.28125" style="0" customWidth="1"/>
    <col min="4" max="4" width="18.421875" style="0" bestFit="1" customWidth="1"/>
    <col min="5" max="5" width="12.00390625" style="0" bestFit="1" customWidth="1"/>
  </cols>
  <sheetData>
    <row r="1" spans="1:5" ht="13.5" thickBot="1">
      <c r="A1" s="9" t="s">
        <v>0</v>
      </c>
      <c r="B1" s="10" t="s">
        <v>6</v>
      </c>
      <c r="C1" s="10" t="s">
        <v>69</v>
      </c>
      <c r="D1" s="10" t="s">
        <v>70</v>
      </c>
      <c r="E1" s="17" t="s">
        <v>131</v>
      </c>
    </row>
    <row r="2" spans="1:5" ht="13.5" thickBot="1">
      <c r="A2" s="42" t="s">
        <v>71</v>
      </c>
      <c r="B2" s="11" t="s">
        <v>72</v>
      </c>
      <c r="C2" s="12">
        <v>6673</v>
      </c>
      <c r="D2" s="13" t="s">
        <v>132</v>
      </c>
      <c r="E2">
        <f aca="true" t="shared" si="0" ref="E2:E9">C2</f>
        <v>6673</v>
      </c>
    </row>
    <row r="3" spans="1:5" ht="13.5" thickBot="1">
      <c r="A3" s="43"/>
      <c r="B3" s="11" t="s">
        <v>73</v>
      </c>
      <c r="C3" s="12">
        <v>6960</v>
      </c>
      <c r="D3" s="13" t="s">
        <v>132</v>
      </c>
      <c r="E3">
        <f t="shared" si="0"/>
        <v>6960</v>
      </c>
    </row>
    <row r="4" spans="1:5" ht="26.25" thickBot="1">
      <c r="A4" s="43"/>
      <c r="B4" s="11" t="s">
        <v>74</v>
      </c>
      <c r="C4" s="12">
        <v>4250202</v>
      </c>
      <c r="D4" s="13" t="s">
        <v>132</v>
      </c>
      <c r="E4">
        <f t="shared" si="0"/>
        <v>4250202</v>
      </c>
    </row>
    <row r="5" spans="1:5" ht="39" thickBot="1">
      <c r="A5" s="43"/>
      <c r="B5" s="11" t="s">
        <v>7</v>
      </c>
      <c r="C5" s="12">
        <v>11160.2</v>
      </c>
      <c r="D5" s="13" t="s">
        <v>132</v>
      </c>
      <c r="E5">
        <f t="shared" si="0"/>
        <v>11160.2</v>
      </c>
    </row>
    <row r="6" spans="1:5" ht="39" thickBot="1">
      <c r="A6" s="43"/>
      <c r="B6" s="11" t="s">
        <v>8</v>
      </c>
      <c r="C6" s="12">
        <v>790.38</v>
      </c>
      <c r="D6" s="13" t="s">
        <v>132</v>
      </c>
      <c r="E6">
        <f>C6+Existing!E6</f>
        <v>1010.88</v>
      </c>
    </row>
    <row r="7" spans="1:5" ht="26.25" thickBot="1">
      <c r="A7" s="43"/>
      <c r="B7" s="11" t="s">
        <v>75</v>
      </c>
      <c r="C7" s="12">
        <f>C6+C5</f>
        <v>11950.58</v>
      </c>
      <c r="D7" s="13" t="s">
        <v>132</v>
      </c>
      <c r="E7">
        <f t="shared" si="0"/>
        <v>11950.58</v>
      </c>
    </row>
    <row r="8" spans="1:5" ht="26.25" thickBot="1">
      <c r="A8" s="44"/>
      <c r="B8" s="14" t="s">
        <v>76</v>
      </c>
      <c r="C8" s="25">
        <v>232.1</v>
      </c>
      <c r="D8" s="12" t="s">
        <v>130</v>
      </c>
      <c r="E8">
        <f t="shared" si="0"/>
        <v>232.1</v>
      </c>
    </row>
    <row r="9" spans="1:5" ht="26.25" thickBot="1">
      <c r="A9" s="15"/>
      <c r="B9" s="14" t="s">
        <v>77</v>
      </c>
      <c r="C9" s="12">
        <v>3569.7</v>
      </c>
      <c r="D9" s="13" t="s">
        <v>132</v>
      </c>
      <c r="E9">
        <f t="shared" si="0"/>
        <v>3569.7</v>
      </c>
    </row>
    <row r="10" spans="1:5" ht="39" thickBot="1">
      <c r="A10" s="42" t="s">
        <v>15</v>
      </c>
      <c r="B10" s="11" t="s">
        <v>16</v>
      </c>
      <c r="C10" s="13" t="s">
        <v>78</v>
      </c>
      <c r="D10" s="13" t="s">
        <v>79</v>
      </c>
      <c r="E10">
        <f>B46*C2</f>
        <v>17750.18</v>
      </c>
    </row>
    <row r="11" spans="1:5" ht="51.75" thickBot="1">
      <c r="A11" s="43"/>
      <c r="B11" s="11" t="s">
        <v>17</v>
      </c>
      <c r="C11" s="14" t="s">
        <v>80</v>
      </c>
      <c r="D11" s="13" t="s">
        <v>81</v>
      </c>
      <c r="E11">
        <f>E10*0.189</f>
        <v>3354.78402</v>
      </c>
    </row>
    <row r="12" spans="1:5" ht="90" thickBot="1">
      <c r="A12" s="43"/>
      <c r="B12" s="11" t="s">
        <v>82</v>
      </c>
      <c r="C12" s="14" t="s">
        <v>83</v>
      </c>
      <c r="D12" s="13" t="s">
        <v>84</v>
      </c>
      <c r="E12">
        <f>E10*0.4089</f>
        <v>7258.048602</v>
      </c>
    </row>
    <row r="13" spans="1:5" ht="115.5" thickBot="1">
      <c r="A13" s="43"/>
      <c r="B13" s="11" t="s">
        <v>21</v>
      </c>
      <c r="C13" s="14" t="s">
        <v>85</v>
      </c>
      <c r="D13" s="13" t="s">
        <v>86</v>
      </c>
      <c r="E13">
        <f>C4/823</f>
        <v>5164.279465370595</v>
      </c>
    </row>
    <row r="14" spans="1:5" ht="26.25" thickBot="1">
      <c r="A14" s="44"/>
      <c r="B14" s="11" t="s">
        <v>23</v>
      </c>
      <c r="C14" s="14" t="s">
        <v>87</v>
      </c>
      <c r="D14" s="13"/>
      <c r="E14">
        <f>E13/E2</f>
        <v>0.7739067084325784</v>
      </c>
    </row>
    <row r="15" spans="1:5" ht="39" thickBot="1">
      <c r="A15" s="42" t="s">
        <v>57</v>
      </c>
      <c r="B15" s="14" t="s">
        <v>58</v>
      </c>
      <c r="C15" s="14" t="s">
        <v>88</v>
      </c>
      <c r="D15" s="13" t="s">
        <v>89</v>
      </c>
      <c r="E15">
        <f>E2*1.84</f>
        <v>12278.32</v>
      </c>
    </row>
    <row r="16" spans="1:5" ht="115.5" thickBot="1">
      <c r="A16" s="43"/>
      <c r="B16" s="14" t="s">
        <v>90</v>
      </c>
      <c r="C16" s="14" t="s">
        <v>91</v>
      </c>
      <c r="D16" s="13" t="s">
        <v>92</v>
      </c>
      <c r="E16">
        <f>E2*5.95</f>
        <v>39704.35</v>
      </c>
    </row>
    <row r="17" spans="1:5" ht="90" thickBot="1">
      <c r="A17" s="43"/>
      <c r="B17" s="14" t="s">
        <v>93</v>
      </c>
      <c r="C17" s="14" t="s">
        <v>94</v>
      </c>
      <c r="D17" s="45" t="s">
        <v>95</v>
      </c>
      <c r="E17">
        <f>(E16*9.78)/(24*476.76)</f>
        <v>33.93640956665827</v>
      </c>
    </row>
    <row r="18" spans="1:5" ht="90" thickBot="1">
      <c r="A18" s="43"/>
      <c r="B18" s="14" t="s">
        <v>96</v>
      </c>
      <c r="C18" s="14" t="s">
        <v>97</v>
      </c>
      <c r="D18" s="46"/>
      <c r="E18">
        <f>($E$16*9.78)/(24*19.7)</f>
        <v>821.2955647208122</v>
      </c>
    </row>
    <row r="19" spans="1:5" ht="77.25" thickBot="1">
      <c r="A19" s="43"/>
      <c r="B19" s="14" t="s">
        <v>98</v>
      </c>
      <c r="C19" s="14" t="s">
        <v>99</v>
      </c>
      <c r="D19" s="46"/>
      <c r="E19">
        <f>($E$16*9.78)/(24*60.22)</f>
        <v>268.67357397874457</v>
      </c>
    </row>
    <row r="20" spans="1:5" ht="77.25" thickBot="1">
      <c r="A20" s="44"/>
      <c r="B20" s="14" t="s">
        <v>100</v>
      </c>
      <c r="C20" s="14" t="s">
        <v>101</v>
      </c>
      <c r="D20" s="47"/>
      <c r="E20">
        <f>($E$16*9.78)/(24*29.89)</f>
        <v>541.3021955503513</v>
      </c>
    </row>
    <row r="21" spans="1:5" ht="102.75" thickBot="1">
      <c r="A21" s="42" t="s">
        <v>102</v>
      </c>
      <c r="B21" s="14" t="s">
        <v>55</v>
      </c>
      <c r="C21" s="14" t="s">
        <v>103</v>
      </c>
      <c r="D21" s="13" t="s">
        <v>104</v>
      </c>
      <c r="E21">
        <f>E2*391</f>
        <v>2609143</v>
      </c>
    </row>
    <row r="22" spans="1:5" ht="102.75" thickBot="1">
      <c r="A22" s="43"/>
      <c r="B22" s="14" t="s">
        <v>53</v>
      </c>
      <c r="C22" s="14" t="s">
        <v>105</v>
      </c>
      <c r="D22" s="13" t="s">
        <v>106</v>
      </c>
      <c r="E22">
        <f>E2*101</f>
        <v>673973</v>
      </c>
    </row>
    <row r="23" spans="1:5" ht="128.25" thickBot="1">
      <c r="A23" s="43"/>
      <c r="B23" s="14" t="s">
        <v>54</v>
      </c>
      <c r="C23" s="14" t="s">
        <v>107</v>
      </c>
      <c r="D23" s="13" t="s">
        <v>108</v>
      </c>
      <c r="E23">
        <f>E4*85.1</f>
        <v>361692190.2</v>
      </c>
    </row>
    <row r="24" spans="1:5" ht="39" thickBot="1">
      <c r="A24" s="44"/>
      <c r="B24" s="14" t="s">
        <v>109</v>
      </c>
      <c r="C24" s="14" t="s">
        <v>110</v>
      </c>
      <c r="D24" s="13"/>
      <c r="E24">
        <f>E22+E23</f>
        <v>362366163.2</v>
      </c>
    </row>
    <row r="25" spans="1:5" ht="26.25" thickBot="1">
      <c r="A25" s="42" t="s">
        <v>34</v>
      </c>
      <c r="B25" s="14" t="s">
        <v>111</v>
      </c>
      <c r="C25" s="14" t="s">
        <v>112</v>
      </c>
      <c r="D25" s="13"/>
      <c r="E25">
        <f>E7/E10</f>
        <v>0.6732652851971078</v>
      </c>
    </row>
    <row r="26" spans="1:5" ht="26.25" thickBot="1">
      <c r="A26" s="43"/>
      <c r="B26" s="14" t="s">
        <v>29</v>
      </c>
      <c r="C26" s="14" t="s">
        <v>113</v>
      </c>
      <c r="D26" s="13"/>
      <c r="E26">
        <f>E10/B47</f>
        <v>637.5783045977012</v>
      </c>
    </row>
    <row r="27" spans="1:5" ht="39" thickBot="1">
      <c r="A27" s="43"/>
      <c r="B27" s="14" t="s">
        <v>31</v>
      </c>
      <c r="C27" s="14" t="s">
        <v>114</v>
      </c>
      <c r="D27" s="13"/>
      <c r="E27">
        <f>E2/E5</f>
        <v>0.597928352538485</v>
      </c>
    </row>
    <row r="28" spans="1:5" ht="39" thickBot="1">
      <c r="A28" s="43"/>
      <c r="B28" s="14" t="s">
        <v>115</v>
      </c>
      <c r="C28" s="14" t="s">
        <v>116</v>
      </c>
      <c r="D28" s="13"/>
      <c r="E28">
        <f>E13/E6</f>
        <v>5.108696843711019</v>
      </c>
    </row>
    <row r="29" spans="1:5" ht="75.75" thickBot="1">
      <c r="A29" s="43"/>
      <c r="B29" s="18" t="s">
        <v>41</v>
      </c>
      <c r="C29" s="19" t="s">
        <v>135</v>
      </c>
      <c r="D29" s="18" t="s">
        <v>141</v>
      </c>
      <c r="E29" s="20">
        <v>231</v>
      </c>
    </row>
    <row r="30" spans="1:5" ht="60.75" thickBot="1">
      <c r="A30" s="43"/>
      <c r="B30" s="18" t="s">
        <v>39</v>
      </c>
      <c r="C30" s="18" t="s">
        <v>136</v>
      </c>
      <c r="D30" s="18" t="s">
        <v>141</v>
      </c>
      <c r="E30" s="20">
        <v>10764</v>
      </c>
    </row>
    <row r="31" spans="1:5" ht="60.75" thickBot="1">
      <c r="A31" s="43"/>
      <c r="B31" s="18" t="s">
        <v>40</v>
      </c>
      <c r="C31" s="19" t="s">
        <v>137</v>
      </c>
      <c r="D31" s="18" t="s">
        <v>141</v>
      </c>
      <c r="E31" s="20">
        <v>3435</v>
      </c>
    </row>
    <row r="32" spans="1:5" ht="60.75" thickBot="1">
      <c r="A32" s="43"/>
      <c r="B32" s="18" t="s">
        <v>42</v>
      </c>
      <c r="C32" s="19" t="s">
        <v>138</v>
      </c>
      <c r="D32" s="18" t="s">
        <v>141</v>
      </c>
      <c r="E32" s="20">
        <v>11355</v>
      </c>
    </row>
    <row r="33" spans="1:5" ht="60.75" thickBot="1">
      <c r="A33" s="43"/>
      <c r="B33" s="18" t="s">
        <v>43</v>
      </c>
      <c r="C33" s="18" t="s">
        <v>139</v>
      </c>
      <c r="D33" s="18" t="s">
        <v>141</v>
      </c>
      <c r="E33" s="20">
        <v>9117</v>
      </c>
    </row>
    <row r="34" spans="1:5" ht="60.75" thickBot="1">
      <c r="A34" s="43"/>
      <c r="B34" s="18" t="s">
        <v>37</v>
      </c>
      <c r="C34" s="18" t="s">
        <v>140</v>
      </c>
      <c r="D34" s="18" t="s">
        <v>141</v>
      </c>
      <c r="E34" s="20">
        <v>2919</v>
      </c>
    </row>
    <row r="35" spans="1:5" ht="26.25" thickBot="1">
      <c r="A35" s="44"/>
      <c r="B35" s="14" t="s">
        <v>117</v>
      </c>
      <c r="C35" s="14" t="s">
        <v>118</v>
      </c>
      <c r="D35" s="13"/>
      <c r="E35">
        <f>E8/E10</f>
        <v>0.013075923737111398</v>
      </c>
    </row>
    <row r="36" spans="1:5" ht="51.75" thickBot="1">
      <c r="A36" s="42" t="s">
        <v>119</v>
      </c>
      <c r="B36" s="11" t="s">
        <v>25</v>
      </c>
      <c r="C36" s="12" t="s">
        <v>120</v>
      </c>
      <c r="D36" s="13"/>
      <c r="E36" s="21">
        <f>E9/B48</f>
        <v>0.20034684806034483</v>
      </c>
    </row>
    <row r="37" spans="1:5" ht="30.75" thickBot="1">
      <c r="A37" s="43"/>
      <c r="B37" s="22" t="s">
        <v>121</v>
      </c>
      <c r="C37" s="23"/>
      <c r="D37" s="23" t="s">
        <v>122</v>
      </c>
      <c r="E37" s="24"/>
    </row>
    <row r="38" spans="1:5" ht="30.75" thickBot="1">
      <c r="A38" s="44"/>
      <c r="B38" s="22" t="s">
        <v>123</v>
      </c>
      <c r="C38" s="23"/>
      <c r="D38" s="23" t="s">
        <v>122</v>
      </c>
      <c r="E38" s="24"/>
    </row>
    <row r="39" spans="1:5" ht="64.5" thickBot="1">
      <c r="A39" s="42" t="s">
        <v>44</v>
      </c>
      <c r="B39" s="11" t="s">
        <v>48</v>
      </c>
      <c r="C39" s="14" t="s">
        <v>124</v>
      </c>
      <c r="D39" s="13" t="s">
        <v>122</v>
      </c>
      <c r="E39">
        <f>E10*0.39</f>
        <v>6922.5702</v>
      </c>
    </row>
    <row r="40" spans="1:4" ht="13.5" thickBot="1">
      <c r="A40" s="43"/>
      <c r="B40" s="11" t="s">
        <v>125</v>
      </c>
      <c r="C40" s="14"/>
      <c r="D40" s="13"/>
    </row>
    <row r="41" spans="1:5" ht="51.75" thickBot="1">
      <c r="A41" s="43"/>
      <c r="B41" s="11" t="s">
        <v>126</v>
      </c>
      <c r="C41" s="14" t="s">
        <v>127</v>
      </c>
      <c r="D41" s="13" t="s">
        <v>122</v>
      </c>
      <c r="E41">
        <f>E10*0.08</f>
        <v>1420.0144</v>
      </c>
    </row>
    <row r="42" spans="1:5" ht="39" thickBot="1">
      <c r="A42" s="44"/>
      <c r="B42" s="11" t="s">
        <v>128</v>
      </c>
      <c r="C42" s="14" t="s">
        <v>129</v>
      </c>
      <c r="D42" s="13" t="s">
        <v>122</v>
      </c>
      <c r="E42">
        <f>E10*1.28</f>
        <v>22720.2304</v>
      </c>
    </row>
    <row r="46" spans="1:2" ht="12.75">
      <c r="A46" s="16" t="s">
        <v>133</v>
      </c>
      <c r="B46">
        <v>2.66</v>
      </c>
    </row>
    <row r="47" spans="1:2" ht="12.75">
      <c r="A47" s="16" t="s">
        <v>134</v>
      </c>
      <c r="B47">
        <v>27.84</v>
      </c>
    </row>
    <row r="48" spans="1:2" ht="12.75">
      <c r="A48" s="16" t="s">
        <v>142</v>
      </c>
      <c r="B48">
        <f>B47*640</f>
        <v>17817.6</v>
      </c>
    </row>
  </sheetData>
  <sheetProtection/>
  <mergeCells count="8">
    <mergeCell ref="A36:A38"/>
    <mergeCell ref="A39:A42"/>
    <mergeCell ref="A2:A8"/>
    <mergeCell ref="A10:A14"/>
    <mergeCell ref="A15:A20"/>
    <mergeCell ref="D17:D20"/>
    <mergeCell ref="A21:A24"/>
    <mergeCell ref="A25:A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Robert Pruyne</cp:lastModifiedBy>
  <cp:lastPrinted>2008-04-09T14:36:17Z</cp:lastPrinted>
  <dcterms:created xsi:type="dcterms:W3CDTF">2008-04-09T13:09:10Z</dcterms:created>
  <dcterms:modified xsi:type="dcterms:W3CDTF">2010-10-15T16:27:35Z</dcterms:modified>
  <cp:category/>
  <cp:version/>
  <cp:contentType/>
  <cp:contentStatus/>
</cp:coreProperties>
</file>