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15" windowHeight="12885" activeTab="5"/>
  </bookViews>
  <sheets>
    <sheet name="Final" sheetId="1" r:id="rId1"/>
    <sheet name="Existing" sheetId="2" r:id="rId2"/>
    <sheet name="Base Scenario" sheetId="3" r:id="rId3"/>
    <sheet name="Std Alt" sheetId="4" r:id="rId4"/>
    <sheet name="Community Scenario" sheetId="5" r:id="rId5"/>
    <sheet name="ZOning" sheetId="6" r:id="rId6"/>
  </sheets>
  <definedNames/>
  <calcPr fullCalcOnLoad="1"/>
</workbook>
</file>

<file path=xl/sharedStrings.xml><?xml version="1.0" encoding="utf-8"?>
<sst xmlns="http://schemas.openxmlformats.org/spreadsheetml/2006/main" count="609" uniqueCount="176">
  <si>
    <t>Category</t>
  </si>
  <si>
    <t>Current</t>
  </si>
  <si>
    <t>Base Buildout</t>
  </si>
  <si>
    <t>Town Scenario</t>
  </si>
  <si>
    <t>Standard Alternative Scenario</t>
  </si>
  <si>
    <t>Buildout</t>
  </si>
  <si>
    <t>Percent Change</t>
  </si>
  <si>
    <t>Indicator</t>
  </si>
  <si>
    <t>Developed Residential Acres</t>
  </si>
  <si>
    <t>Developed Non-Residential Acres</t>
  </si>
  <si>
    <t>Residential Dwelling Units</t>
  </si>
  <si>
    <t>Units</t>
  </si>
  <si>
    <t>Commercial Floor Area</t>
  </si>
  <si>
    <t>Acres</t>
  </si>
  <si>
    <t>d.u.'s</t>
  </si>
  <si>
    <t>sq. ft</t>
  </si>
  <si>
    <t>Demographics &amp; Employment</t>
  </si>
  <si>
    <t>Population</t>
  </si>
  <si>
    <t>School Kids</t>
  </si>
  <si>
    <t>Labor Force Population</t>
  </si>
  <si>
    <t>Workers</t>
  </si>
  <si>
    <t>Persons</t>
  </si>
  <si>
    <t>Commercial Jobs</t>
  </si>
  <si>
    <t>Jobs</t>
  </si>
  <si>
    <t>Jobs to Housing Ratio</t>
  </si>
  <si>
    <t>Jobs/d.u.</t>
  </si>
  <si>
    <t>Open Space Supply</t>
  </si>
  <si>
    <t>Environmental &amp; Open Space</t>
  </si>
  <si>
    <t>Impervious Surfaces</t>
  </si>
  <si>
    <t>Percent</t>
  </si>
  <si>
    <t>Total Density</t>
  </si>
  <si>
    <r>
      <t>Persons/mi</t>
    </r>
    <r>
      <rPr>
        <sz val="10"/>
        <rFont val="Arial"/>
        <family val="2"/>
      </rPr>
      <t>²</t>
    </r>
  </si>
  <si>
    <t>Residential Housing Density</t>
  </si>
  <si>
    <t>d.u./Acre</t>
  </si>
  <si>
    <t>Acres/d.u.</t>
  </si>
  <si>
    <t>Land Use Characteristics</t>
  </si>
  <si>
    <t>Recreation Density</t>
  </si>
  <si>
    <r>
      <t>Ft</t>
    </r>
    <r>
      <rPr>
        <sz val="10"/>
        <rFont val="Arial"/>
        <family val="2"/>
      </rPr>
      <t>²</t>
    </r>
    <r>
      <rPr>
        <sz val="10"/>
        <rFont val="Arial"/>
        <family val="0"/>
      </rPr>
      <t>/person</t>
    </r>
  </si>
  <si>
    <t>Housing Proximity to Recreation</t>
  </si>
  <si>
    <t>Miles</t>
  </si>
  <si>
    <t>Housing Proximity to Community Centers</t>
  </si>
  <si>
    <t>Housing Proximity to Amenities</t>
  </si>
  <si>
    <t>Walkability</t>
  </si>
  <si>
    <t>Housing Proximity to Transit</t>
  </si>
  <si>
    <t>Employment Proximity to Transit</t>
  </si>
  <si>
    <t>Municipal Demands</t>
  </si>
  <si>
    <t>Fire &amp; Ambulance Service</t>
  </si>
  <si>
    <t>Calls/Years</t>
  </si>
  <si>
    <t>Police Service</t>
  </si>
  <si>
    <t>Solid Waste Demand</t>
  </si>
  <si>
    <t>Annual Tons</t>
  </si>
  <si>
    <t>Water &amp; Energy Use</t>
  </si>
  <si>
    <t>Total Energy Use</t>
  </si>
  <si>
    <t>mbtu/hh/yr</t>
  </si>
  <si>
    <t>Residential Energy Use</t>
  </si>
  <si>
    <t>Commercial Energy Use</t>
  </si>
  <si>
    <t>Residential Water Use</t>
  </si>
  <si>
    <t>mgals</t>
  </si>
  <si>
    <t>Transportation</t>
  </si>
  <si>
    <t>Vehicles</t>
  </si>
  <si>
    <t>Vehicle Trips per Day</t>
  </si>
  <si>
    <t>Trips/Day</t>
  </si>
  <si>
    <t>Grams/Yr</t>
  </si>
  <si>
    <t>Tons/Yr</t>
  </si>
  <si>
    <t>Annual CO Auto Emissions</t>
  </si>
  <si>
    <t>Annual CO2 Auto Emissions</t>
  </si>
  <si>
    <t>Annual NOx Auto Emissions</t>
  </si>
  <si>
    <t>Annual Hydrocarbon Auto Emissions</t>
  </si>
  <si>
    <t>School Kids Population</t>
  </si>
  <si>
    <t>0-%</t>
  </si>
  <si>
    <t>Calculation Method</t>
  </si>
  <si>
    <t>Assumption Source</t>
  </si>
  <si>
    <t>Buildout Totals</t>
  </si>
  <si>
    <t>Dwelling units</t>
  </si>
  <si>
    <t>Buildings</t>
  </si>
  <si>
    <t>Non-Residential floor area</t>
  </si>
  <si>
    <t>Total Developed Acres</t>
  </si>
  <si>
    <t>Recreation Land Use Acres</t>
  </si>
  <si>
    <t>Open Space Acres</t>
  </si>
  <si>
    <r>
      <t xml:space="preserve">Persons per Household </t>
    </r>
    <r>
      <rPr>
        <sz val="10"/>
        <rFont val="Times New Roman"/>
        <family val="1"/>
      </rPr>
      <t xml:space="preserve">* </t>
    </r>
    <r>
      <rPr>
        <sz val="10"/>
        <color indexed="12"/>
        <rFont val="Times New Roman"/>
        <family val="1"/>
      </rPr>
      <t>Dwelling Units</t>
    </r>
  </si>
  <si>
    <t>Person per Household from US Census 2000 per community</t>
  </si>
  <si>
    <r>
      <t>Population</t>
    </r>
    <r>
      <rPr>
        <sz val="10"/>
        <rFont val="Times New Roman"/>
        <family val="1"/>
      </rPr>
      <t xml:space="preserve"> * </t>
    </r>
    <r>
      <rPr>
        <sz val="10"/>
        <color indexed="17"/>
        <rFont val="Times New Roman"/>
        <family val="1"/>
      </rPr>
      <t>0.189 [18.9%- Percent school aged of population]</t>
    </r>
  </si>
  <si>
    <t>Percent school age population based on US. Census 2000 national average.</t>
  </si>
  <si>
    <t>Labor Force</t>
  </si>
  <si>
    <r>
      <t>Population</t>
    </r>
    <r>
      <rPr>
        <sz val="10"/>
        <rFont val="Times New Roman"/>
        <family val="1"/>
      </rPr>
      <t xml:space="preserve"> * </t>
    </r>
    <r>
      <rPr>
        <sz val="10"/>
        <color indexed="17"/>
        <rFont val="Times New Roman"/>
        <family val="1"/>
      </rPr>
      <t>0.4089 [40.89%- Percent in labor force of population]</t>
    </r>
  </si>
  <si>
    <t>Labor Force calculated using US averages from Private nonfarm employment (2001), U.S. Census Bureau &amp; 2000 Census.</t>
  </si>
  <si>
    <r>
      <t>Non-residential floor area</t>
    </r>
    <r>
      <rPr>
        <sz val="10"/>
        <rFont val="Times New Roman"/>
        <family val="1"/>
      </rPr>
      <t xml:space="preserve"> [sq. ft] / </t>
    </r>
    <r>
      <rPr>
        <sz val="10"/>
        <color indexed="17"/>
        <rFont val="Times New Roman"/>
        <family val="1"/>
      </rPr>
      <t>823 [floor area per employee]</t>
    </r>
  </si>
  <si>
    <t>Floor area per employee derived using data from "Commercial Buildings Energy Consumption Survey (1999)," Energy Information Administration.</t>
  </si>
  <si>
    <t>Commercial Jobs / Dwelling Units</t>
  </si>
  <si>
    <r>
      <t xml:space="preserve">Dwelling Units * </t>
    </r>
    <r>
      <rPr>
        <sz val="10"/>
        <color indexed="17"/>
        <rFont val="Times New Roman"/>
        <family val="1"/>
      </rPr>
      <t>1.84 [Vehicles per Household]</t>
    </r>
  </si>
  <si>
    <t>Vehicles per Household from US Census 2000 for NH</t>
  </si>
  <si>
    <t>Vehicle Trips per day</t>
  </si>
  <si>
    <r>
      <t xml:space="preserve">Dwelling Units *  </t>
    </r>
    <r>
      <rPr>
        <sz val="10"/>
        <color indexed="17"/>
        <rFont val="Times New Roman"/>
        <family val="1"/>
      </rPr>
      <t>5.95 (Household vehicle trips per day)</t>
    </r>
  </si>
  <si>
    <t>Household vehicle trips per day from Transportation Energy Data Book (2001), chapter 8, edition 24, US Department of Energy, Energy Efficiency and Renewable Energy</t>
  </si>
  <si>
    <t>Annual CO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</si>
  <si>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476.76 [CO grams per gallon]</t>
    </r>
  </si>
  <si>
    <t>Assumptions are based on US averages circa 2000 as provided by Figures for average annual emissions and fuel consumption for passenger cars and light trucks (July, 2000), US Environmental Protection Agency. - Unit conversions made in the calculations are not displayed here.</t>
  </si>
  <si>
    <t>Annual CO2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</si>
  <si>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19.7 [CO2 pounds per gallon]</t>
    </r>
  </si>
  <si>
    <t>Annual hydrocarbon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</si>
  <si>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60.22 [grams per gallon]</t>
    </r>
  </si>
  <si>
    <t>Annual NOx auto emissions</t>
  </si>
  <si>
    <r>
      <t xml:space="preserve">((Vehicle Trips per day * </t>
    </r>
    <r>
      <rPr>
        <sz val="10"/>
        <color indexed="17"/>
        <rFont val="Times New Roman"/>
        <family val="1"/>
      </rPr>
      <t xml:space="preserve">9.78 [Miles - Average trip length] ) </t>
    </r>
    <r>
      <rPr>
        <sz val="10"/>
        <rFont val="Times New Roman"/>
        <family val="1"/>
      </rPr>
      <t>/</t>
    </r>
    <r>
      <rPr>
        <sz val="10"/>
        <color indexed="17"/>
        <rFont val="Times New Roman"/>
        <family val="1"/>
      </rPr>
      <t xml:space="preserve"> 24 [miles per gallon - average fuel efficiency] ) * 29.89 [NOx grams per gallon]</t>
    </r>
  </si>
  <si>
    <t>Water/Energy Use</t>
  </si>
  <si>
    <r>
      <t xml:space="preserve">Dwelling Units * </t>
    </r>
    <r>
      <rPr>
        <sz val="10"/>
        <color indexed="17"/>
        <rFont val="Times New Roman"/>
        <family val="1"/>
      </rPr>
      <t>391 [Gallons - Average Household water use]</t>
    </r>
  </si>
  <si>
    <t>Average Household water use from Estimated Use of Water in the United States in 2000, USGS Circular 1268, United States Geological Survey,2000</t>
  </si>
  <si>
    <r>
      <t xml:space="preserve">Dwelling Units * 101 </t>
    </r>
    <r>
      <rPr>
        <sz val="10"/>
        <color indexed="17"/>
        <rFont val="Times New Roman"/>
        <family val="1"/>
      </rPr>
      <t>[MBtu - Average annual energy use by household]</t>
    </r>
  </si>
  <si>
    <t>Average annual energy use by household from Residential Energy Consumption Survey (1997), US Energy Information Administration</t>
  </si>
  <si>
    <r>
      <t>Non-residential floor area</t>
    </r>
    <r>
      <rPr>
        <sz val="10"/>
        <rFont val="Times New Roman"/>
        <family val="1"/>
      </rPr>
      <t xml:space="preserve"> [sq. ft] * </t>
    </r>
    <r>
      <rPr>
        <sz val="10"/>
        <color indexed="17"/>
        <rFont val="Times New Roman"/>
        <family val="1"/>
      </rPr>
      <t>85.1 [ Thousand Btu per square foot]</t>
    </r>
  </si>
  <si>
    <t>Thousand Btu per square foot from Commercial Buildings Energy Consumption Survey (1999), Form EIA-871A, Energy Information Administration, Office of Energy Markets and End Use</t>
  </si>
  <si>
    <t>Total Energy use</t>
  </si>
  <si>
    <t>Residential Energy Use + Commercial Energy Use</t>
  </si>
  <si>
    <t>Development Footprint</t>
  </si>
  <si>
    <t>Developed Acres / Population</t>
  </si>
  <si>
    <r>
      <t xml:space="preserve">Population </t>
    </r>
    <r>
      <rPr>
        <sz val="10"/>
        <rFont val="Times New Roman"/>
        <family val="1"/>
      </rPr>
      <t>Per square mile</t>
    </r>
  </si>
  <si>
    <t>Dwelling Units / Developed Residential Acres</t>
  </si>
  <si>
    <t>Employment Density</t>
  </si>
  <si>
    <r>
      <t>Commercial Jobs</t>
    </r>
    <r>
      <rPr>
        <sz val="10"/>
        <rFont val="Times New Roman"/>
        <family val="1"/>
      </rPr>
      <t xml:space="preserve"> / </t>
    </r>
    <r>
      <rPr>
        <sz val="10"/>
        <color indexed="12"/>
        <rFont val="Times New Roman"/>
        <family val="1"/>
      </rPr>
      <t>Developed Non-Residential Acres</t>
    </r>
  </si>
  <si>
    <t>Recreation acres per person</t>
  </si>
  <si>
    <t>Recreation Land Use Acres / Population</t>
  </si>
  <si>
    <t>Environmental/ Open Space</t>
  </si>
  <si>
    <r>
      <t xml:space="preserve">Percent of total land area dedicated to Open Space : </t>
    </r>
    <r>
      <rPr>
        <sz val="10"/>
        <color indexed="12"/>
        <rFont val="Times New Roman"/>
        <family val="1"/>
      </rPr>
      <t xml:space="preserve">Open Space Acres / </t>
    </r>
    <r>
      <rPr>
        <sz val="10"/>
        <rFont val="Times New Roman"/>
        <family val="1"/>
      </rPr>
      <t>Total Acres</t>
    </r>
  </si>
  <si>
    <t>Imperviousness</t>
  </si>
  <si>
    <t>To be determined</t>
  </si>
  <si>
    <t>Greenness Index</t>
  </si>
  <si>
    <r>
      <t xml:space="preserve">Population * </t>
    </r>
    <r>
      <rPr>
        <sz val="10"/>
        <color indexed="17"/>
        <rFont val="Times New Roman"/>
        <family val="1"/>
      </rPr>
      <t>0.39 [Annual solid waste tons - landfill contribution - per person]</t>
    </r>
  </si>
  <si>
    <t>Sewer Demand</t>
  </si>
  <si>
    <t>Emergency Service Calls - Fire &amp; Ambulance</t>
  </si>
  <si>
    <r>
      <t xml:space="preserve">Population * </t>
    </r>
    <r>
      <rPr>
        <sz val="10"/>
        <color indexed="17"/>
        <rFont val="Times New Roman"/>
        <family val="1"/>
      </rPr>
      <t>0.08 [Annual service calls per person]</t>
    </r>
  </si>
  <si>
    <t>Emergency Service Calls  - Police</t>
  </si>
  <si>
    <r>
      <t xml:space="preserve">Population * </t>
    </r>
    <r>
      <rPr>
        <sz val="10"/>
        <color indexed="17"/>
        <rFont val="Times New Roman"/>
        <family val="1"/>
      </rPr>
      <t>1.28 [Annual service calls per person]</t>
    </r>
  </si>
  <si>
    <t>From Landuse</t>
  </si>
  <si>
    <t>Calculation</t>
  </si>
  <si>
    <t>From buildout</t>
  </si>
  <si>
    <t>Persons Per Household From 2000 census</t>
  </si>
  <si>
    <t>Square Miles</t>
  </si>
  <si>
    <t>Percentage of Dwelling Units within ½ mile of a community center point.</t>
  </si>
  <si>
    <t>Average Distance from all Dwelling Units to Community center points.</t>
  </si>
  <si>
    <t>Average Distance from all Dwelling Units to Amenity points.</t>
  </si>
  <si>
    <t>Average Distance from all Dwelling Units to Transit stop points.</t>
  </si>
  <si>
    <t>Average Distance from all Commercial Jobs [by location] to Transit stop points.</t>
  </si>
  <si>
    <t>Average Distance from all Dwelling Units to Recreation Land Uses.</t>
  </si>
  <si>
    <t>Manual Calculate</t>
  </si>
  <si>
    <t>Total Acres</t>
  </si>
  <si>
    <t>N/A</t>
  </si>
  <si>
    <t>Applied Zoning for Base Scenario</t>
  </si>
  <si>
    <t>Zone</t>
  </si>
  <si>
    <t>Side</t>
  </si>
  <si>
    <t>Front</t>
  </si>
  <si>
    <t>Setbacks(feet)</t>
  </si>
  <si>
    <t>* This is in no way an official zoning density.  These figures are for use ONLY for the</t>
  </si>
  <si>
    <t xml:space="preserve">purposes of this buildout process/model.  Overlay districts have been neglected for </t>
  </si>
  <si>
    <t>the purposes of this planning exercise.</t>
  </si>
  <si>
    <t>Applied Zoning for Standard Alternative Scenario</t>
  </si>
  <si>
    <t>Max Density (Acres/unit)</t>
  </si>
  <si>
    <t>Within .25 Miles</t>
  </si>
  <si>
    <t>Max Density (Acres/unit)based on Distance of Parcel from Community Center</t>
  </si>
  <si>
    <t>Within .5 Miles</t>
  </si>
  <si>
    <t>Within 1 Mile</t>
  </si>
  <si>
    <t>Outside 1 mile</t>
  </si>
  <si>
    <t>Applied Zoning for Community Alternative Scenario</t>
  </si>
  <si>
    <t>Constraints</t>
  </si>
  <si>
    <t>Conservation Land</t>
  </si>
  <si>
    <t>Wetlands - NWI</t>
  </si>
  <si>
    <t>100 Year Flood Plain</t>
  </si>
  <si>
    <t>Steep Slope</t>
  </si>
  <si>
    <t>Existing Development</t>
  </si>
  <si>
    <t>Natural Services Network (Only in Scenario 2)</t>
  </si>
  <si>
    <t>Pecent Units</t>
  </si>
  <si>
    <t>DVD</t>
  </si>
  <si>
    <t>HCLI</t>
  </si>
  <si>
    <t>HD</t>
  </si>
  <si>
    <t>MH</t>
  </si>
  <si>
    <t>RA</t>
  </si>
  <si>
    <t>HC*</t>
  </si>
  <si>
    <t xml:space="preserve">* HC is the new zone created from this scenario.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</si>
</sst>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 #,##0.000_);_(* \(#,##0.000\);_(* &quot;-&quot;??_);_(@_)"/>
    <numFmt numFmtId="166" formatCode="_(* #,##0.0_);_(* \(#,##0.0\);_(* &quot;-&quot;??_);_(@_)"/>
    <numFmt numFmtId="167" formatCode="_(* #,##0_);_(* \(#,##0\);_(* &quot;-&quot;??_);_(@_)"/>
    <numFmt numFmtId="168" formatCode="_(* #,##0.000_);_(* \(#,##0.000\);_(* &quot;-&quot;???_);_(@_)"/>
    <numFmt numFmtId="169" formatCode="_(* #,##0.0_);_(* \(#,##0.0\);_(*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
  </numFmts>
  <fonts count="5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name val="Times New Roman"/>
      <family val="1"/>
    </font>
    <font>
      <sz val="10"/>
      <color indexed="12"/>
      <name val="Times New Roman"/>
      <family val="1"/>
    </font>
    <font>
      <sz val="10"/>
      <name val="Times New Roman"/>
      <family val="1"/>
    </font>
    <font>
      <sz val="10"/>
      <color indexed="17"/>
      <name val="Times New Roman"/>
      <family val="1"/>
    </font>
    <font>
      <b/>
      <sz val="14"/>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Times New Roman"/>
      <family val="1"/>
    </font>
    <font>
      <sz val="10"/>
      <color rgb="FF008000"/>
      <name val="Times New Roman"/>
      <family val="1"/>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1" fillId="0" borderId="10" xfId="0" applyFont="1" applyBorder="1" applyAlignment="1">
      <alignment horizontal="center" wrapText="1"/>
    </xf>
    <xf numFmtId="0" fontId="0" fillId="0" borderId="10" xfId="0" applyBorder="1" applyAlignment="1">
      <alignment horizontal="center" vertical="center"/>
    </xf>
    <xf numFmtId="0" fontId="0" fillId="0" borderId="10" xfId="0" applyBorder="1" applyAlignment="1">
      <alignment horizontal="center"/>
    </xf>
    <xf numFmtId="0" fontId="1"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35" borderId="10" xfId="0" applyFont="1" applyFill="1" applyBorder="1" applyAlignment="1">
      <alignment horizontal="center" wrapText="1"/>
    </xf>
    <xf numFmtId="0" fontId="0" fillId="36" borderId="10" xfId="0" applyFill="1" applyBorder="1" applyAlignment="1">
      <alignment horizontal="center" vertical="center"/>
    </xf>
    <xf numFmtId="0" fontId="0" fillId="36" borderId="10" xfId="0" applyFill="1" applyBorder="1" applyAlignment="1">
      <alignment horizontal="center"/>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47" fillId="0" borderId="13" xfId="0" applyFont="1" applyBorder="1" applyAlignment="1">
      <alignment vertical="top" wrapText="1"/>
    </xf>
    <xf numFmtId="0" fontId="7" fillId="0" borderId="13" xfId="0" applyFont="1" applyBorder="1" applyAlignment="1">
      <alignment wrapText="1"/>
    </xf>
    <xf numFmtId="0" fontId="48" fillId="0" borderId="13" xfId="0" applyFont="1" applyBorder="1" applyAlignment="1">
      <alignment wrapText="1"/>
    </xf>
    <xf numFmtId="0" fontId="47" fillId="0" borderId="13" xfId="0" applyFont="1" applyBorder="1" applyAlignment="1">
      <alignment wrapText="1"/>
    </xf>
    <xf numFmtId="0" fontId="49" fillId="0" borderId="14" xfId="0" applyFont="1" applyBorder="1" applyAlignment="1">
      <alignment horizontal="center" wrapText="1"/>
    </xf>
    <xf numFmtId="0" fontId="0" fillId="0" borderId="0" xfId="0" applyFont="1" applyAlignment="1">
      <alignment/>
    </xf>
    <xf numFmtId="0" fontId="5" fillId="0" borderId="15" xfId="0" applyFont="1" applyFill="1" applyBorder="1" applyAlignment="1">
      <alignment horizontal="center" vertical="top" wrapText="1"/>
    </xf>
    <xf numFmtId="0" fontId="36" fillId="29" borderId="13" xfId="48" applyBorder="1" applyAlignment="1">
      <alignment wrapText="1"/>
    </xf>
    <xf numFmtId="0" fontId="36" fillId="29" borderId="13" xfId="48" applyBorder="1" applyAlignment="1">
      <alignment vertical="top" wrapText="1"/>
    </xf>
    <xf numFmtId="0" fontId="36" fillId="29" borderId="0" xfId="48" applyAlignment="1">
      <alignment/>
    </xf>
    <xf numFmtId="174" fontId="0" fillId="0" borderId="0" xfId="0" applyNumberFormat="1" applyAlignment="1">
      <alignment/>
    </xf>
    <xf numFmtId="0" fontId="32" fillId="26" borderId="13" xfId="39" applyBorder="1" applyAlignment="1">
      <alignment vertical="top" wrapText="1"/>
    </xf>
    <xf numFmtId="0" fontId="32" fillId="26" borderId="13" xfId="39" applyBorder="1" applyAlignment="1">
      <alignment wrapText="1"/>
    </xf>
    <xf numFmtId="0" fontId="32" fillId="26" borderId="0" xfId="39" applyAlignment="1">
      <alignment/>
    </xf>
    <xf numFmtId="0" fontId="7" fillId="0" borderId="15" xfId="0" applyFont="1" applyFill="1" applyBorder="1" applyAlignment="1">
      <alignment wrapText="1"/>
    </xf>
    <xf numFmtId="167" fontId="0" fillId="0" borderId="10" xfId="42" applyNumberFormat="1" applyFont="1" applyBorder="1" applyAlignment="1">
      <alignment horizontal="right"/>
    </xf>
    <xf numFmtId="9" fontId="0" fillId="33" borderId="10" xfId="59" applyNumberFormat="1" applyFont="1" applyFill="1" applyBorder="1" applyAlignment="1">
      <alignment horizontal="right"/>
    </xf>
    <xf numFmtId="9" fontId="0" fillId="34" borderId="10" xfId="59" applyFont="1" applyFill="1" applyBorder="1" applyAlignment="1">
      <alignment horizontal="right"/>
    </xf>
    <xf numFmtId="9" fontId="0" fillId="35" borderId="10" xfId="59" applyFont="1" applyFill="1" applyBorder="1" applyAlignment="1">
      <alignment horizontal="right"/>
    </xf>
    <xf numFmtId="0" fontId="0" fillId="36" borderId="10" xfId="0" applyFill="1" applyBorder="1" applyAlignment="1">
      <alignment horizontal="right"/>
    </xf>
    <xf numFmtId="9" fontId="0" fillId="36" borderId="10" xfId="59" applyNumberFormat="1" applyFont="1" applyFill="1" applyBorder="1" applyAlignment="1">
      <alignment horizontal="right"/>
    </xf>
    <xf numFmtId="9" fontId="0" fillId="36" borderId="10" xfId="59" applyFont="1" applyFill="1" applyBorder="1" applyAlignment="1">
      <alignment horizontal="right"/>
    </xf>
    <xf numFmtId="9" fontId="0" fillId="37" borderId="10" xfId="59" applyFont="1" applyFill="1" applyBorder="1" applyAlignment="1">
      <alignment horizontal="right"/>
    </xf>
    <xf numFmtId="3" fontId="0" fillId="0" borderId="10" xfId="0" applyNumberFormat="1" applyBorder="1" applyAlignment="1">
      <alignment horizontal="right"/>
    </xf>
    <xf numFmtId="43" fontId="0" fillId="0" borderId="10" xfId="0" applyNumberFormat="1" applyBorder="1" applyAlignment="1">
      <alignment horizontal="right"/>
    </xf>
    <xf numFmtId="2" fontId="0" fillId="0" borderId="10" xfId="0" applyNumberFormat="1" applyBorder="1" applyAlignment="1">
      <alignment horizontal="right"/>
    </xf>
    <xf numFmtId="4" fontId="0" fillId="0" borderId="10" xfId="0" applyNumberFormat="1" applyBorder="1" applyAlignment="1">
      <alignment horizontal="right"/>
    </xf>
    <xf numFmtId="1" fontId="0" fillId="0" borderId="10" xfId="0" applyNumberFormat="1" applyBorder="1" applyAlignment="1">
      <alignment horizontal="right"/>
    </xf>
    <xf numFmtId="174" fontId="36" fillId="29" borderId="0" xfId="48" applyNumberFormat="1" applyAlignment="1">
      <alignment/>
    </xf>
    <xf numFmtId="0" fontId="0" fillId="0" borderId="10" xfId="0" applyFont="1" applyBorder="1" applyAlignment="1">
      <alignment horizontal="right"/>
    </xf>
    <xf numFmtId="2" fontId="0" fillId="0" borderId="0" xfId="0" applyNumberFormat="1" applyAlignment="1">
      <alignment wrapText="1"/>
    </xf>
    <xf numFmtId="0" fontId="9" fillId="0" borderId="0" xfId="0" applyFont="1" applyAlignment="1">
      <alignment/>
    </xf>
    <xf numFmtId="2" fontId="10" fillId="0" borderId="0" xfId="0" applyNumberFormat="1" applyFont="1" applyAlignment="1">
      <alignment wrapText="1"/>
    </xf>
    <xf numFmtId="0" fontId="10" fillId="0" borderId="0" xfId="0" applyFont="1" applyAlignment="1">
      <alignment/>
    </xf>
    <xf numFmtId="0" fontId="10" fillId="0" borderId="10" xfId="0" applyFont="1" applyBorder="1" applyAlignment="1">
      <alignment horizontal="center"/>
    </xf>
    <xf numFmtId="2" fontId="10" fillId="0" borderId="10" xfId="0" applyNumberFormat="1" applyFont="1" applyBorder="1" applyAlignment="1">
      <alignment horizontal="center" wrapText="1"/>
    </xf>
    <xf numFmtId="0" fontId="10" fillId="0" borderId="10" xfId="0" applyFont="1" applyBorder="1" applyAlignment="1">
      <alignment/>
    </xf>
    <xf numFmtId="2" fontId="10" fillId="0" borderId="10" xfId="0" applyNumberFormat="1" applyFont="1" applyBorder="1" applyAlignment="1">
      <alignment wrapText="1"/>
    </xf>
    <xf numFmtId="0" fontId="10" fillId="0" borderId="10" xfId="0" applyFont="1" applyBorder="1" applyAlignment="1">
      <alignment wrapText="1"/>
    </xf>
    <xf numFmtId="0" fontId="10" fillId="0" borderId="0" xfId="0" applyFont="1" applyFill="1" applyBorder="1" applyAlignment="1">
      <alignment/>
    </xf>
    <xf numFmtId="0" fontId="10" fillId="0" borderId="0" xfId="0" applyFont="1" applyBorder="1" applyAlignment="1">
      <alignment/>
    </xf>
    <xf numFmtId="2" fontId="10" fillId="0" borderId="0" xfId="0" applyNumberFormat="1" applyFont="1" applyBorder="1" applyAlignment="1">
      <alignment horizontal="center" wrapText="1"/>
    </xf>
    <xf numFmtId="0" fontId="0" fillId="0" borderId="10" xfId="0" applyFill="1" applyBorder="1" applyAlignment="1">
      <alignment horizontal="center"/>
    </xf>
    <xf numFmtId="10" fontId="0" fillId="0" borderId="10" xfId="0" applyNumberFormat="1" applyBorder="1" applyAlignment="1">
      <alignment/>
    </xf>
    <xf numFmtId="10" fontId="29" fillId="38" borderId="10" xfId="48" applyNumberFormat="1" applyFont="1" applyFill="1"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49" fillId="0" borderId="16"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4" xfId="0" applyFont="1" applyBorder="1" applyAlignment="1">
      <alignment horizontal="center" vertical="center" wrapText="1"/>
    </xf>
    <xf numFmtId="0" fontId="48" fillId="0" borderId="16" xfId="0" applyFont="1" applyBorder="1" applyAlignment="1">
      <alignment wrapText="1"/>
    </xf>
    <xf numFmtId="0" fontId="48" fillId="0" borderId="17" xfId="0" applyFont="1" applyBorder="1" applyAlignment="1">
      <alignment wrapText="1"/>
    </xf>
    <xf numFmtId="0" fontId="48" fillId="0" borderId="14" xfId="0" applyFont="1" applyBorder="1" applyAlignment="1">
      <alignment wrapText="1"/>
    </xf>
    <xf numFmtId="0" fontId="10" fillId="0" borderId="18" xfId="0" applyFont="1" applyBorder="1" applyAlignment="1">
      <alignment horizontal="center"/>
    </xf>
    <xf numFmtId="2" fontId="10"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zoomScale="95" zoomScaleNormal="95" zoomScalePageLayoutView="0" workbookViewId="0" topLeftCell="A1">
      <selection activeCell="G23" sqref="G23"/>
    </sheetView>
  </sheetViews>
  <sheetFormatPr defaultColWidth="9.140625" defaultRowHeight="12.75"/>
  <cols>
    <col min="1" max="1" width="22.8515625" style="0" customWidth="1"/>
    <col min="2" max="2" width="36.421875" style="0" customWidth="1"/>
    <col min="3" max="3" width="11.421875" style="0" customWidth="1"/>
    <col min="4" max="4" width="11.28125" style="0" customWidth="1"/>
    <col min="5" max="5" width="11.7109375" style="0" customWidth="1"/>
    <col min="6" max="6" width="8.57421875" style="0" customWidth="1"/>
    <col min="7" max="7" width="12.421875" style="0" customWidth="1"/>
    <col min="8" max="8" width="8.8515625" style="0" customWidth="1"/>
    <col min="9" max="9" width="11.28125" style="0" customWidth="1"/>
    <col min="10" max="10" width="8.57421875" style="0" customWidth="1"/>
  </cols>
  <sheetData>
    <row r="1" spans="1:10" ht="42.75" customHeight="1">
      <c r="A1" s="2" t="s">
        <v>0</v>
      </c>
      <c r="B1" s="2" t="s">
        <v>7</v>
      </c>
      <c r="C1" s="2" t="s">
        <v>11</v>
      </c>
      <c r="D1" s="2" t="s">
        <v>1</v>
      </c>
      <c r="E1" s="5" t="s">
        <v>2</v>
      </c>
      <c r="F1" s="5" t="s">
        <v>6</v>
      </c>
      <c r="G1" s="6" t="s">
        <v>4</v>
      </c>
      <c r="H1" s="6" t="s">
        <v>6</v>
      </c>
      <c r="I1" s="7" t="s">
        <v>3</v>
      </c>
      <c r="J1" s="7" t="s">
        <v>6</v>
      </c>
    </row>
    <row r="2" spans="1:12" ht="12.75">
      <c r="A2" s="57" t="s">
        <v>5</v>
      </c>
      <c r="B2" s="4" t="s">
        <v>8</v>
      </c>
      <c r="C2" s="4" t="s">
        <v>13</v>
      </c>
      <c r="D2" s="27">
        <f>Existing!E5</f>
        <v>1407</v>
      </c>
      <c r="E2" s="27">
        <f>'Base Scenario'!E5</f>
        <v>3526</v>
      </c>
      <c r="F2" s="28">
        <f>(E2-D2)/D2</f>
        <v>1.5060412224591329</v>
      </c>
      <c r="G2" s="27">
        <f>'Std Alt'!E5</f>
        <v>3808.3</v>
      </c>
      <c r="H2" s="29">
        <f>(G2-D2)/D2</f>
        <v>1.7066808813077472</v>
      </c>
      <c r="I2" s="27">
        <f>'Community Scenario'!E5</f>
        <v>3848</v>
      </c>
      <c r="J2" s="30">
        <f>(I2-D2)/D2</f>
        <v>1.7348969438521677</v>
      </c>
      <c r="K2" s="1"/>
      <c r="L2" s="1"/>
    </row>
    <row r="3" spans="1:12" ht="12.75">
      <c r="A3" s="57"/>
      <c r="B3" s="4" t="s">
        <v>9</v>
      </c>
      <c r="C3" s="4" t="s">
        <v>13</v>
      </c>
      <c r="D3" s="27">
        <f>Existing!E6</f>
        <v>60</v>
      </c>
      <c r="E3" s="27">
        <f>'Base Scenario'!E6</f>
        <v>233</v>
      </c>
      <c r="F3" s="28">
        <f aca="true" t="shared" si="0" ref="F3:F37">(E3-D3)/D3</f>
        <v>2.8833333333333333</v>
      </c>
      <c r="G3" s="27">
        <f>'Std Alt'!E6</f>
        <v>239.22</v>
      </c>
      <c r="H3" s="29">
        <f aca="true" t="shared" si="1" ref="H3:H37">(G3-D3)/D3</f>
        <v>2.987</v>
      </c>
      <c r="I3" s="27">
        <f>'Community Scenario'!E6</f>
        <v>199.5</v>
      </c>
      <c r="J3" s="30">
        <f aca="true" t="shared" si="2" ref="J3:J37">(I3-D3)/D3</f>
        <v>2.325</v>
      </c>
      <c r="K3" s="1"/>
      <c r="L3" s="1"/>
    </row>
    <row r="4" spans="1:12" ht="12.75">
      <c r="A4" s="57"/>
      <c r="B4" s="4" t="s">
        <v>10</v>
      </c>
      <c r="C4" s="4" t="s">
        <v>14</v>
      </c>
      <c r="D4" s="27">
        <f>Existing!E2</f>
        <v>1626</v>
      </c>
      <c r="E4" s="27">
        <f>'Base Scenario'!E2</f>
        <v>2512</v>
      </c>
      <c r="F4" s="28">
        <f t="shared" si="0"/>
        <v>0.5448954489544895</v>
      </c>
      <c r="G4" s="27">
        <f>'Std Alt'!E2</f>
        <v>2512</v>
      </c>
      <c r="H4" s="29">
        <f t="shared" si="1"/>
        <v>0.5448954489544895</v>
      </c>
      <c r="I4" s="27">
        <f>'Community Scenario'!E2</f>
        <v>2582</v>
      </c>
      <c r="J4" s="30">
        <f t="shared" si="2"/>
        <v>0.5879458794587946</v>
      </c>
      <c r="K4" s="1"/>
      <c r="L4" s="1"/>
    </row>
    <row r="5" spans="1:12" ht="12.75">
      <c r="A5" s="57"/>
      <c r="B5" s="4" t="s">
        <v>12</v>
      </c>
      <c r="C5" s="4" t="s">
        <v>15</v>
      </c>
      <c r="D5" s="27">
        <f>Existing!E4</f>
        <v>232950</v>
      </c>
      <c r="E5" s="27">
        <f>'Base Scenario'!E4</f>
        <v>2032146</v>
      </c>
      <c r="F5" s="28">
        <f t="shared" si="0"/>
        <v>7.723528654217644</v>
      </c>
      <c r="G5" s="27">
        <f>'Std Alt'!E4</f>
        <v>795569</v>
      </c>
      <c r="H5" s="29">
        <f t="shared" si="1"/>
        <v>2.4151921013092936</v>
      </c>
      <c r="I5" s="27">
        <f>'Community Scenario'!E4</f>
        <v>2101532</v>
      </c>
      <c r="J5" s="30">
        <f t="shared" si="2"/>
        <v>8.021386563640267</v>
      </c>
      <c r="K5" s="1"/>
      <c r="L5" s="1"/>
    </row>
    <row r="6" spans="1:12" ht="4.5" customHeight="1">
      <c r="A6" s="8"/>
      <c r="B6" s="9"/>
      <c r="C6" s="9"/>
      <c r="D6" s="31"/>
      <c r="E6" s="31"/>
      <c r="F6" s="32"/>
      <c r="G6" s="31"/>
      <c r="H6" s="33"/>
      <c r="I6" s="31"/>
      <c r="J6" s="34"/>
      <c r="K6" s="1"/>
      <c r="L6" s="1"/>
    </row>
    <row r="7" spans="1:12" ht="12.75">
      <c r="A7" s="58" t="s">
        <v>16</v>
      </c>
      <c r="B7" s="4" t="s">
        <v>17</v>
      </c>
      <c r="C7" s="4" t="s">
        <v>21</v>
      </c>
      <c r="D7" s="35">
        <f>Existing!E10</f>
        <v>4178.82</v>
      </c>
      <c r="E7" s="35">
        <f>'Base Scenario'!E10</f>
        <v>6455.839999999999</v>
      </c>
      <c r="F7" s="28">
        <f t="shared" si="0"/>
        <v>0.5448954489544895</v>
      </c>
      <c r="G7" s="35">
        <f>'Std Alt'!E10</f>
        <v>6455.839999999999</v>
      </c>
      <c r="H7" s="29">
        <f t="shared" si="1"/>
        <v>0.5448954489544895</v>
      </c>
      <c r="I7" s="35">
        <f>'Community Scenario'!E10</f>
        <v>6635.74</v>
      </c>
      <c r="J7" s="30">
        <f t="shared" si="2"/>
        <v>0.5879458794587946</v>
      </c>
      <c r="K7" s="1"/>
      <c r="L7" s="1"/>
    </row>
    <row r="8" spans="1:12" ht="12.75">
      <c r="A8" s="57"/>
      <c r="B8" s="4" t="s">
        <v>68</v>
      </c>
      <c r="C8" s="4" t="s">
        <v>18</v>
      </c>
      <c r="D8" s="35">
        <f>Existing!E11</f>
        <v>789.79698</v>
      </c>
      <c r="E8" s="35">
        <f>'Base Scenario'!E11</f>
        <v>1220.15376</v>
      </c>
      <c r="F8" s="28">
        <f t="shared" si="0"/>
        <v>0.5448954489544895</v>
      </c>
      <c r="G8" s="35">
        <f>'Std Alt'!E11</f>
        <v>1220.15376</v>
      </c>
      <c r="H8" s="29">
        <f t="shared" si="1"/>
        <v>0.5448954489544895</v>
      </c>
      <c r="I8" s="35">
        <f>'Community Scenario'!E11</f>
        <v>1254.1548599999999</v>
      </c>
      <c r="J8" s="30">
        <f t="shared" si="2"/>
        <v>0.5879458794587945</v>
      </c>
      <c r="K8" s="1"/>
      <c r="L8" s="1"/>
    </row>
    <row r="9" spans="1:12" ht="12.75">
      <c r="A9" s="57"/>
      <c r="B9" s="4" t="s">
        <v>19</v>
      </c>
      <c r="C9" s="4" t="s">
        <v>20</v>
      </c>
      <c r="D9" s="35">
        <f>Existing!E12</f>
        <v>1708.719498</v>
      </c>
      <c r="E9" s="35">
        <f>'Base Scenario'!E12</f>
        <v>2639.7929759999997</v>
      </c>
      <c r="F9" s="28">
        <f t="shared" si="0"/>
        <v>0.5448954489544895</v>
      </c>
      <c r="G9" s="35">
        <f>'Std Alt'!E12</f>
        <v>2639.7929759999997</v>
      </c>
      <c r="H9" s="29">
        <f t="shared" si="1"/>
        <v>0.5448954489544895</v>
      </c>
      <c r="I9" s="35">
        <f>'Community Scenario'!E12</f>
        <v>2713.354086</v>
      </c>
      <c r="J9" s="30">
        <f t="shared" si="2"/>
        <v>0.5879458794587945</v>
      </c>
      <c r="K9" s="1"/>
      <c r="L9" s="1"/>
    </row>
    <row r="10" spans="1:12" ht="12.75">
      <c r="A10" s="57"/>
      <c r="B10" s="4" t="s">
        <v>22</v>
      </c>
      <c r="C10" s="4" t="s">
        <v>23</v>
      </c>
      <c r="D10" s="35">
        <f>Existing!E13</f>
        <v>283.0498177399757</v>
      </c>
      <c r="E10" s="35">
        <f>'Base Scenario'!E13</f>
        <v>2469.1931956257595</v>
      </c>
      <c r="F10" s="28">
        <f t="shared" si="0"/>
        <v>7.723528654217643</v>
      </c>
      <c r="G10" s="35">
        <f>'Std Alt'!E13</f>
        <v>966.6695018226003</v>
      </c>
      <c r="H10" s="29">
        <f t="shared" si="1"/>
        <v>2.415192101309294</v>
      </c>
      <c r="I10" s="35">
        <f>'Community Scenario'!E13</f>
        <v>2553.501822600243</v>
      </c>
      <c r="J10" s="30">
        <f t="shared" si="2"/>
        <v>8.021386563640265</v>
      </c>
      <c r="K10" s="1"/>
      <c r="L10" s="1"/>
    </row>
    <row r="11" spans="1:12" ht="12.75">
      <c r="A11" s="57"/>
      <c r="B11" s="4" t="s">
        <v>24</v>
      </c>
      <c r="C11" s="4" t="s">
        <v>25</v>
      </c>
      <c r="D11" s="36">
        <f>Existing!E14</f>
        <v>0.1740773786838719</v>
      </c>
      <c r="E11" s="36">
        <f>'Base Scenario'!E14</f>
        <v>0.9829590746917832</v>
      </c>
      <c r="F11" s="28">
        <f t="shared" si="0"/>
        <v>4.646678977610623</v>
      </c>
      <c r="G11" s="36">
        <f>'Std Alt'!E14</f>
        <v>0.3848206615535829</v>
      </c>
      <c r="H11" s="29">
        <f t="shared" si="1"/>
        <v>1.2106299190799807</v>
      </c>
      <c r="I11" s="36">
        <f>'Community Scenario'!E14</f>
        <v>0.9889627508134171</v>
      </c>
      <c r="J11" s="30">
        <f t="shared" si="2"/>
        <v>4.68116752613442</v>
      </c>
      <c r="K11" s="1"/>
      <c r="L11" s="1"/>
    </row>
    <row r="12" spans="1:12" ht="5.25" customHeight="1">
      <c r="A12" s="8"/>
      <c r="B12" s="9"/>
      <c r="C12" s="9"/>
      <c r="D12" s="31"/>
      <c r="E12" s="31"/>
      <c r="F12" s="32"/>
      <c r="G12" s="31"/>
      <c r="H12" s="33"/>
      <c r="I12" s="31"/>
      <c r="J12" s="34"/>
      <c r="K12" s="1"/>
      <c r="L12" s="1"/>
    </row>
    <row r="13" spans="1:12" ht="12.75">
      <c r="A13" s="58" t="s">
        <v>27</v>
      </c>
      <c r="B13" s="3" t="s">
        <v>26</v>
      </c>
      <c r="C13" s="4" t="s">
        <v>13</v>
      </c>
      <c r="D13" s="35">
        <f>Existing!E9</f>
        <v>567.4</v>
      </c>
      <c r="E13" s="35">
        <f>'Base Scenario'!E9</f>
        <v>567</v>
      </c>
      <c r="F13" s="28">
        <f t="shared" si="0"/>
        <v>-0.0007049700387733121</v>
      </c>
      <c r="G13" s="35">
        <f>'Std Alt'!E9</f>
        <v>567</v>
      </c>
      <c r="H13" s="29">
        <f t="shared" si="1"/>
        <v>-0.0007049700387733121</v>
      </c>
      <c r="I13" s="35">
        <f>'Community Scenario'!E9</f>
        <v>567</v>
      </c>
      <c r="J13" s="30">
        <f t="shared" si="2"/>
        <v>-0.0007049700387733121</v>
      </c>
      <c r="K13" s="1"/>
      <c r="L13" s="1"/>
    </row>
    <row r="14" spans="1:12" ht="12.75">
      <c r="A14" s="58"/>
      <c r="B14" s="4" t="s">
        <v>28</v>
      </c>
      <c r="C14" s="4" t="s">
        <v>29</v>
      </c>
      <c r="D14" s="41" t="s">
        <v>144</v>
      </c>
      <c r="E14" s="41" t="s">
        <v>144</v>
      </c>
      <c r="F14" s="41" t="s">
        <v>144</v>
      </c>
      <c r="G14" s="41" t="s">
        <v>144</v>
      </c>
      <c r="H14" s="41" t="s">
        <v>144</v>
      </c>
      <c r="I14" s="41" t="s">
        <v>144</v>
      </c>
      <c r="J14" s="41" t="s">
        <v>144</v>
      </c>
      <c r="K14" s="1"/>
      <c r="L14" s="1"/>
    </row>
    <row r="15" spans="1:12" ht="5.25" customHeight="1">
      <c r="A15" s="8"/>
      <c r="B15" s="9"/>
      <c r="C15" s="9"/>
      <c r="D15" s="31"/>
      <c r="E15" s="31"/>
      <c r="F15" s="32"/>
      <c r="G15" s="31"/>
      <c r="H15" s="33"/>
      <c r="I15" s="31"/>
      <c r="J15" s="34"/>
      <c r="K15" s="1"/>
      <c r="L15" s="1"/>
    </row>
    <row r="16" spans="1:12" ht="12.75">
      <c r="A16" s="57" t="s">
        <v>35</v>
      </c>
      <c r="B16" s="4" t="s">
        <v>30</v>
      </c>
      <c r="C16" s="4" t="s">
        <v>31</v>
      </c>
      <c r="D16" s="37">
        <f>Existing!E26</f>
        <v>353.32882387756825</v>
      </c>
      <c r="E16" s="37">
        <f>'Base Scenario'!E26</f>
        <v>545.8560919928975</v>
      </c>
      <c r="F16" s="28">
        <f>(E16-D16)/D16</f>
        <v>0.5448954489544894</v>
      </c>
      <c r="G16" s="37">
        <f>'Std Alt'!E26</f>
        <v>545.8560919928975</v>
      </c>
      <c r="H16" s="29">
        <f>(G16-D16)/D16</f>
        <v>0.5448954489544894</v>
      </c>
      <c r="I16" s="37">
        <f>'Community Scenario'!E26</f>
        <v>561.0670499704066</v>
      </c>
      <c r="J16" s="30">
        <f>(I16-D16)/D16</f>
        <v>0.5879458794587945</v>
      </c>
      <c r="K16" s="1"/>
      <c r="L16" s="1"/>
    </row>
    <row r="17" spans="1:12" ht="12.75">
      <c r="A17" s="57"/>
      <c r="B17" s="4" t="s">
        <v>32</v>
      </c>
      <c r="C17" s="4" t="s">
        <v>33</v>
      </c>
      <c r="D17" s="37">
        <f>Existing!E27</f>
        <v>1.1556503198294243</v>
      </c>
      <c r="E17" s="37">
        <f>'Base Scenario'!E27</f>
        <v>0.7124220079410096</v>
      </c>
      <c r="F17" s="28">
        <f t="shared" si="0"/>
        <v>-0.38353150973370204</v>
      </c>
      <c r="G17" s="37">
        <f>'Std Alt'!E27</f>
        <v>0.6596119003229787</v>
      </c>
      <c r="H17" s="29">
        <f t="shared" si="1"/>
        <v>-0.42922881687919373</v>
      </c>
      <c r="I17" s="37">
        <f>'Community Scenario'!E27</f>
        <v>0.670997920997921</v>
      </c>
      <c r="J17" s="30">
        <f t="shared" si="2"/>
        <v>-0.41937633773427135</v>
      </c>
      <c r="K17" s="1"/>
      <c r="L17" s="1"/>
    </row>
    <row r="18" spans="1:12" ht="12.75">
      <c r="A18" s="57"/>
      <c r="B18" s="4" t="s">
        <v>112</v>
      </c>
      <c r="C18" s="4" t="s">
        <v>34</v>
      </c>
      <c r="D18" s="37">
        <f>Existing!E25</f>
        <v>0.3510560397432768</v>
      </c>
      <c r="E18" s="37">
        <f>'Base Scenario'!E25</f>
        <v>0.5822635009541749</v>
      </c>
      <c r="F18" s="28">
        <f t="shared" si="0"/>
        <v>0.6586055644562543</v>
      </c>
      <c r="G18" s="37">
        <f>'Std Alt'!E25</f>
        <v>0.6269548192024587</v>
      </c>
      <c r="H18" s="29">
        <f t="shared" si="1"/>
        <v>0.7859109322287786</v>
      </c>
      <c r="I18" s="37">
        <f>'Community Scenario'!E25</f>
        <v>0.6099545792933418</v>
      </c>
      <c r="J18" s="30">
        <f t="shared" si="2"/>
        <v>0.7374849318627149</v>
      </c>
      <c r="K18" s="1"/>
      <c r="L18" s="1"/>
    </row>
    <row r="19" spans="1:12" ht="12.75">
      <c r="A19" s="57"/>
      <c r="B19" s="4" t="s">
        <v>36</v>
      </c>
      <c r="C19" s="4" t="s">
        <v>37</v>
      </c>
      <c r="D19" s="37">
        <f>Existing!E35</f>
        <v>0.0018091231495972547</v>
      </c>
      <c r="E19" s="37">
        <f>'Base Scenario'!E35</f>
        <v>0.0011710327393491785</v>
      </c>
      <c r="F19" s="28">
        <f t="shared" si="0"/>
        <v>-0.3527070063694267</v>
      </c>
      <c r="G19" s="37">
        <f>'Std Alt'!E35</f>
        <v>0.0011710327393491785</v>
      </c>
      <c r="H19" s="29">
        <f t="shared" si="1"/>
        <v>-0.3527070063694267</v>
      </c>
      <c r="I19" s="37">
        <f>'Community Scenario'!E35</f>
        <v>0.0011392851437820046</v>
      </c>
      <c r="J19" s="30">
        <f t="shared" si="2"/>
        <v>-0.37025561580170413</v>
      </c>
      <c r="K19" s="1"/>
      <c r="L19" s="1"/>
    </row>
    <row r="20" spans="1:12" ht="12.75">
      <c r="A20" s="57"/>
      <c r="B20" s="4" t="s">
        <v>38</v>
      </c>
      <c r="C20" s="4" t="s">
        <v>39</v>
      </c>
      <c r="D20" s="37">
        <f>Existing!E34/5280</f>
        <v>0.9477272727272728</v>
      </c>
      <c r="E20" s="37">
        <f>'Base Scenario'!E34/5280</f>
        <v>0.984280303030303</v>
      </c>
      <c r="F20" s="28">
        <f t="shared" si="0"/>
        <v>0.03856914468425254</v>
      </c>
      <c r="G20" s="37">
        <f>'Std Alt'!E34/5280</f>
        <v>0.9297348484848484</v>
      </c>
      <c r="H20" s="29">
        <f t="shared" si="1"/>
        <v>-0.018984812150279848</v>
      </c>
      <c r="I20" s="37">
        <f>'Community Scenario'!E34/5280</f>
        <v>0.9952651515151515</v>
      </c>
      <c r="J20" s="30">
        <f t="shared" si="2"/>
        <v>0.05015987210231809</v>
      </c>
      <c r="K20" s="1"/>
      <c r="L20" s="1"/>
    </row>
    <row r="21" spans="1:12" ht="12.75">
      <c r="A21" s="57"/>
      <c r="B21" s="4" t="s">
        <v>40</v>
      </c>
      <c r="C21" s="4" t="s">
        <v>39</v>
      </c>
      <c r="D21" s="37">
        <f>Existing!E30/5280</f>
        <v>1.3893939393939394</v>
      </c>
      <c r="E21" s="37">
        <f>'Base Scenario'!E30/5280</f>
        <v>1.4678030303030303</v>
      </c>
      <c r="F21" s="28">
        <f t="shared" si="0"/>
        <v>0.056434023991275874</v>
      </c>
      <c r="G21" s="37">
        <f>'Std Alt'!E30/5280</f>
        <v>1.346780303030303</v>
      </c>
      <c r="H21" s="29">
        <f t="shared" si="1"/>
        <v>-0.03067066521265002</v>
      </c>
      <c r="I21" s="37">
        <f>'Community Scenario'!E30/5280</f>
        <v>1.4695075757575757</v>
      </c>
      <c r="J21" s="30">
        <f t="shared" si="2"/>
        <v>0.05766085059978188</v>
      </c>
      <c r="K21" s="1"/>
      <c r="L21" s="1"/>
    </row>
    <row r="22" spans="1:12" ht="12.75">
      <c r="A22" s="57"/>
      <c r="B22" s="4" t="s">
        <v>41</v>
      </c>
      <c r="C22" s="4" t="s">
        <v>39</v>
      </c>
      <c r="D22" s="37">
        <f>Existing!E31/5280</f>
        <v>0.8064393939393939</v>
      </c>
      <c r="E22" s="37">
        <f>'Base Scenario'!E31/5280</f>
        <v>0.7848484848484848</v>
      </c>
      <c r="F22" s="28">
        <f t="shared" si="0"/>
        <v>-0.026773132926256476</v>
      </c>
      <c r="G22" s="37">
        <f>'Std Alt'!E31/5280</f>
        <v>0.7670454545454546</v>
      </c>
      <c r="H22" s="29">
        <f t="shared" si="1"/>
        <v>-0.0488492249882573</v>
      </c>
      <c r="I22" s="37">
        <f>'Community Scenario'!E31/5280</f>
        <v>0.8070075757575758</v>
      </c>
      <c r="J22" s="30">
        <f t="shared" si="2"/>
        <v>0.0007045561296383754</v>
      </c>
      <c r="K22" s="1"/>
      <c r="L22" s="1"/>
    </row>
    <row r="23" spans="1:12" ht="12.75">
      <c r="A23" s="57"/>
      <c r="B23" s="4" t="s">
        <v>43</v>
      </c>
      <c r="C23" s="4" t="s">
        <v>39</v>
      </c>
      <c r="D23" s="37">
        <f>Existing!E32/5280</f>
        <v>4.964772727272727</v>
      </c>
      <c r="E23" s="37">
        <f>'Base Scenario'!E32/5280</f>
        <v>5.082386363636363</v>
      </c>
      <c r="F23" s="28">
        <f t="shared" si="0"/>
        <v>0.023689631494621118</v>
      </c>
      <c r="G23" s="37">
        <f>'Std Alt'!E32/5280</f>
        <v>5.047537878787879</v>
      </c>
      <c r="H23" s="29">
        <f t="shared" si="1"/>
        <v>0.016670481422140886</v>
      </c>
      <c r="I23" s="37">
        <f>'Community Scenario'!E32/5280</f>
        <v>5.079545454545454</v>
      </c>
      <c r="J23" s="30">
        <f t="shared" si="2"/>
        <v>0.023117418173494983</v>
      </c>
      <c r="K23" s="1"/>
      <c r="L23" s="1"/>
    </row>
    <row r="24" spans="1:12" ht="12.75">
      <c r="A24" s="57"/>
      <c r="B24" s="4" t="s">
        <v>44</v>
      </c>
      <c r="C24" s="4" t="s">
        <v>39</v>
      </c>
      <c r="D24" s="37">
        <f>Existing!E33/5280</f>
        <v>4.679924242424242</v>
      </c>
      <c r="E24" s="37">
        <f>'Base Scenario'!E33/5280</f>
        <v>4.670833333333333</v>
      </c>
      <c r="F24" s="28">
        <f t="shared" si="0"/>
        <v>-0.0019425333872925355</v>
      </c>
      <c r="G24" s="37">
        <f>'Std Alt'!E33/5280</f>
        <v>4.809659090909091</v>
      </c>
      <c r="H24" s="29">
        <f t="shared" si="1"/>
        <v>0.02772157021448809</v>
      </c>
      <c r="I24" s="37">
        <f>'Community Scenario'!E33/5280</f>
        <v>4.676893939393939</v>
      </c>
      <c r="J24" s="30">
        <f t="shared" si="2"/>
        <v>-0.0006475111290975118</v>
      </c>
      <c r="K24" s="1"/>
      <c r="L24" s="1"/>
    </row>
    <row r="25" spans="1:12" ht="5.25" customHeight="1">
      <c r="A25" s="8"/>
      <c r="B25" s="9"/>
      <c r="C25" s="9"/>
      <c r="D25" s="31"/>
      <c r="E25" s="31"/>
      <c r="F25" s="32"/>
      <c r="G25" s="31"/>
      <c r="H25" s="33"/>
      <c r="I25" s="31"/>
      <c r="J25" s="34"/>
      <c r="K25" s="1"/>
      <c r="L25" s="1"/>
    </row>
    <row r="26" spans="1:12" ht="12.75">
      <c r="A26" s="57" t="s">
        <v>45</v>
      </c>
      <c r="B26" s="4" t="s">
        <v>46</v>
      </c>
      <c r="C26" s="4" t="s">
        <v>47</v>
      </c>
      <c r="D26" s="35">
        <f>Existing!E41</f>
        <v>334.30559999999997</v>
      </c>
      <c r="E26" s="35">
        <f>'Base Scenario'!E41</f>
        <v>516.4671999999999</v>
      </c>
      <c r="F26" s="28">
        <f t="shared" si="0"/>
        <v>0.5448954489544895</v>
      </c>
      <c r="G26" s="35">
        <f>'Std Alt'!E41</f>
        <v>516.4671999999999</v>
      </c>
      <c r="H26" s="29">
        <f t="shared" si="1"/>
        <v>0.5448954489544895</v>
      </c>
      <c r="I26" s="35">
        <f>'Community Scenario'!E41</f>
        <v>530.8592</v>
      </c>
      <c r="J26" s="30">
        <f t="shared" si="2"/>
        <v>0.5879458794587947</v>
      </c>
      <c r="K26" s="1"/>
      <c r="L26" s="1"/>
    </row>
    <row r="27" spans="1:12" ht="12.75">
      <c r="A27" s="57"/>
      <c r="B27" s="4" t="s">
        <v>48</v>
      </c>
      <c r="C27" s="4" t="s">
        <v>47</v>
      </c>
      <c r="D27" s="35">
        <f>Existing!E42</f>
        <v>5348.8895999999995</v>
      </c>
      <c r="E27" s="35">
        <f>'Base Scenario'!E42</f>
        <v>8263.475199999999</v>
      </c>
      <c r="F27" s="28">
        <f t="shared" si="0"/>
        <v>0.5448954489544895</v>
      </c>
      <c r="G27" s="35">
        <f>'Std Alt'!E42</f>
        <v>8263.475199999999</v>
      </c>
      <c r="H27" s="29">
        <f t="shared" si="1"/>
        <v>0.5448954489544895</v>
      </c>
      <c r="I27" s="35">
        <f>'Community Scenario'!E42</f>
        <v>8493.7472</v>
      </c>
      <c r="J27" s="30">
        <f t="shared" si="2"/>
        <v>0.5879458794587947</v>
      </c>
      <c r="K27" s="1"/>
      <c r="L27" s="1"/>
    </row>
    <row r="28" spans="1:12" ht="12.75">
      <c r="A28" s="57"/>
      <c r="B28" s="4" t="s">
        <v>49</v>
      </c>
      <c r="C28" s="4" t="s">
        <v>50</v>
      </c>
      <c r="D28" s="35">
        <f>Existing!E39</f>
        <v>1629.7397999999998</v>
      </c>
      <c r="E28" s="35">
        <f>'Base Scenario'!E39</f>
        <v>2517.7776</v>
      </c>
      <c r="F28" s="28">
        <f t="shared" si="0"/>
        <v>0.5448954489544896</v>
      </c>
      <c r="G28" s="35">
        <f>'Std Alt'!E39</f>
        <v>2517.7776</v>
      </c>
      <c r="H28" s="29">
        <f t="shared" si="1"/>
        <v>0.5448954489544896</v>
      </c>
      <c r="I28" s="35">
        <f>'Community Scenario'!E39</f>
        <v>2587.9386</v>
      </c>
      <c r="J28" s="30">
        <f t="shared" si="2"/>
        <v>0.5879458794587947</v>
      </c>
      <c r="K28" s="1"/>
      <c r="L28" s="1"/>
    </row>
    <row r="29" spans="1:12" ht="5.25" customHeight="1">
      <c r="A29" s="8"/>
      <c r="B29" s="9"/>
      <c r="C29" s="9"/>
      <c r="D29" s="31"/>
      <c r="E29" s="31"/>
      <c r="F29" s="32"/>
      <c r="G29" s="31"/>
      <c r="H29" s="33"/>
      <c r="I29" s="31"/>
      <c r="J29" s="34"/>
      <c r="K29" s="1"/>
      <c r="L29" s="1"/>
    </row>
    <row r="30" spans="1:12" ht="12.75">
      <c r="A30" s="57" t="s">
        <v>51</v>
      </c>
      <c r="B30" s="4" t="s">
        <v>52</v>
      </c>
      <c r="C30" s="4" t="s">
        <v>53</v>
      </c>
      <c r="D30" s="38">
        <f>Existing!E24/1000000</f>
        <v>19.988271</v>
      </c>
      <c r="E30" s="38">
        <f>'Base Scenario'!E24/1000000</f>
        <v>173.1893366</v>
      </c>
      <c r="F30" s="28">
        <f t="shared" si="0"/>
        <v>7.664548154265068</v>
      </c>
      <c r="G30" s="38">
        <f>'Std Alt'!E24/1000000</f>
        <v>67.95663389999999</v>
      </c>
      <c r="H30" s="29">
        <f t="shared" si="1"/>
        <v>2.399825522677774</v>
      </c>
      <c r="I30" s="38">
        <f>'Community Scenario'!E24/1000000</f>
        <v>179.1011552</v>
      </c>
      <c r="J30" s="30">
        <f t="shared" si="2"/>
        <v>7.960312535286318</v>
      </c>
      <c r="K30" s="1"/>
      <c r="L30" s="1"/>
    </row>
    <row r="31" spans="1:12" ht="12.75">
      <c r="A31" s="57"/>
      <c r="B31" s="4" t="s">
        <v>54</v>
      </c>
      <c r="C31" s="4" t="s">
        <v>53</v>
      </c>
      <c r="D31" s="38">
        <f>Existing!E22/1000000</f>
        <v>0.164226</v>
      </c>
      <c r="E31" s="38">
        <f>'Base Scenario'!E22/1000000</f>
        <v>0.253712</v>
      </c>
      <c r="F31" s="28">
        <f t="shared" si="0"/>
        <v>0.5448954489544894</v>
      </c>
      <c r="G31" s="38">
        <f>'Std Alt'!E22/1000000</f>
        <v>0.253712</v>
      </c>
      <c r="H31" s="29">
        <f t="shared" si="1"/>
        <v>0.5448954489544894</v>
      </c>
      <c r="I31" s="38">
        <f>'Community Scenario'!E22/1000000</f>
        <v>0.260782</v>
      </c>
      <c r="J31" s="30">
        <f t="shared" si="2"/>
        <v>0.5879458794587946</v>
      </c>
      <c r="K31" s="1"/>
      <c r="L31" s="1"/>
    </row>
    <row r="32" spans="1:12" ht="12.75">
      <c r="A32" s="57"/>
      <c r="B32" s="4" t="s">
        <v>55</v>
      </c>
      <c r="C32" s="4" t="s">
        <v>53</v>
      </c>
      <c r="D32" s="38">
        <f>Existing!E23/1000000</f>
        <v>19.824045</v>
      </c>
      <c r="E32" s="38">
        <f>'Base Scenario'!E23/1000000</f>
        <v>172.93562459999998</v>
      </c>
      <c r="F32" s="28">
        <f t="shared" si="0"/>
        <v>7.723528654217641</v>
      </c>
      <c r="G32" s="38">
        <f>'Std Alt'!E23/1000000</f>
        <v>67.70292189999999</v>
      </c>
      <c r="H32" s="29">
        <f t="shared" si="1"/>
        <v>2.415192101309293</v>
      </c>
      <c r="I32" s="38">
        <f>'Community Scenario'!E23/1000000</f>
        <v>178.8403732</v>
      </c>
      <c r="J32" s="30">
        <f t="shared" si="2"/>
        <v>8.021386563640265</v>
      </c>
      <c r="K32" s="1"/>
      <c r="L32" s="1"/>
    </row>
    <row r="33" spans="1:12" ht="12.75">
      <c r="A33" s="57"/>
      <c r="B33" s="4" t="s">
        <v>56</v>
      </c>
      <c r="C33" s="4" t="s">
        <v>57</v>
      </c>
      <c r="D33" s="37">
        <f>Existing!E21/1000000</f>
        <v>0.635766</v>
      </c>
      <c r="E33" s="37">
        <f>'Base Scenario'!E21/1000000</f>
        <v>0.982192</v>
      </c>
      <c r="F33" s="28">
        <f t="shared" si="0"/>
        <v>0.5448954489544894</v>
      </c>
      <c r="G33" s="37">
        <f>'Std Alt'!E21/1000000</f>
        <v>0.982192</v>
      </c>
      <c r="H33" s="29">
        <f t="shared" si="1"/>
        <v>0.5448954489544894</v>
      </c>
      <c r="I33" s="37">
        <f>'Community Scenario'!E21/1000000</f>
        <v>1.009562</v>
      </c>
      <c r="J33" s="30">
        <f t="shared" si="2"/>
        <v>0.5879458794587946</v>
      </c>
      <c r="K33" s="1"/>
      <c r="L33" s="1"/>
    </row>
    <row r="34" spans="1:12" ht="5.25" customHeight="1">
      <c r="A34" s="9"/>
      <c r="B34" s="9"/>
      <c r="C34" s="9"/>
      <c r="D34" s="31"/>
      <c r="E34" s="31"/>
      <c r="F34" s="32"/>
      <c r="G34" s="31"/>
      <c r="H34" s="33"/>
      <c r="I34" s="31"/>
      <c r="J34" s="34"/>
      <c r="K34" s="1"/>
      <c r="L34" s="1"/>
    </row>
    <row r="35" spans="1:12" ht="12.75">
      <c r="A35" s="57" t="s">
        <v>58</v>
      </c>
      <c r="B35" s="4" t="s">
        <v>59</v>
      </c>
      <c r="C35" s="4" t="s">
        <v>59</v>
      </c>
      <c r="D35" s="39">
        <f>Existing!E15</f>
        <v>2991.84</v>
      </c>
      <c r="E35" s="39">
        <f>'Base Scenario'!E15</f>
        <v>4622.08</v>
      </c>
      <c r="F35" s="28">
        <f t="shared" si="0"/>
        <v>0.5448954489544895</v>
      </c>
      <c r="G35" s="39">
        <f>'Std Alt'!E15</f>
        <v>4622.08</v>
      </c>
      <c r="H35" s="29">
        <f t="shared" si="1"/>
        <v>0.5448954489544895</v>
      </c>
      <c r="I35" s="39">
        <f>'Community Scenario'!E15</f>
        <v>4750.88</v>
      </c>
      <c r="J35" s="30">
        <f t="shared" si="2"/>
        <v>0.5879458794587945</v>
      </c>
      <c r="K35" s="1"/>
      <c r="L35" s="1"/>
    </row>
    <row r="36" spans="1:12" ht="12.75">
      <c r="A36" s="57"/>
      <c r="B36" s="4" t="s">
        <v>60</v>
      </c>
      <c r="C36" s="4" t="s">
        <v>61</v>
      </c>
      <c r="D36" s="39">
        <f>Existing!E16</f>
        <v>9674.7</v>
      </c>
      <c r="E36" s="39">
        <f>'Base Scenario'!E16</f>
        <v>14946.4</v>
      </c>
      <c r="F36" s="28">
        <f t="shared" si="0"/>
        <v>0.5448954489544894</v>
      </c>
      <c r="G36" s="39">
        <f>'Std Alt'!E16</f>
        <v>14946.4</v>
      </c>
      <c r="H36" s="29">
        <f t="shared" si="1"/>
        <v>0.5448954489544894</v>
      </c>
      <c r="I36" s="39">
        <f>'Community Scenario'!E16</f>
        <v>15362.9</v>
      </c>
      <c r="J36" s="30">
        <f t="shared" si="2"/>
        <v>0.5879458794587944</v>
      </c>
      <c r="K36" s="1"/>
      <c r="L36" s="1"/>
    </row>
    <row r="37" spans="1:12" ht="12.75">
      <c r="A37" s="57"/>
      <c r="B37" s="4" t="s">
        <v>64</v>
      </c>
      <c r="C37" s="4" t="s">
        <v>62</v>
      </c>
      <c r="D37" s="37">
        <f>Existing!E17*365</f>
        <v>3018.270599987415</v>
      </c>
      <c r="E37" s="37">
        <f>'Base Scenario'!E17*365</f>
        <v>4662.912513633694</v>
      </c>
      <c r="F37" s="28">
        <f t="shared" si="0"/>
        <v>0.5448954489544896</v>
      </c>
      <c r="G37" s="37">
        <f>'Std Alt'!E17*365</f>
        <v>4662.912513633694</v>
      </c>
      <c r="H37" s="29">
        <f t="shared" si="1"/>
        <v>0.5448954489544896</v>
      </c>
      <c r="I37" s="37">
        <f>'Community Scenario'!E17*365</f>
        <v>4792.850362341639</v>
      </c>
      <c r="J37" s="30">
        <f t="shared" si="2"/>
        <v>0.5879458794587944</v>
      </c>
      <c r="K37" s="1"/>
      <c r="L37" s="1"/>
    </row>
    <row r="38" spans="1:12" ht="12.75">
      <c r="A38" s="57"/>
      <c r="B38" s="4" t="s">
        <v>65</v>
      </c>
      <c r="C38" s="4" t="s">
        <v>63</v>
      </c>
      <c r="D38" s="37">
        <f>Existing!E18*365</f>
        <v>73045.21275380712</v>
      </c>
      <c r="E38" s="37">
        <f>'Base Scenario'!E18*365</f>
        <v>112847.21675126902</v>
      </c>
      <c r="F38" s="28">
        <f>(E38-D38)/D38</f>
        <v>0.544895448954489</v>
      </c>
      <c r="G38" s="37">
        <f>'Std Alt'!E18*365</f>
        <v>112847.21675126902</v>
      </c>
      <c r="H38" s="29">
        <f>(G38-D38)/D38</f>
        <v>0.544895448954489</v>
      </c>
      <c r="I38" s="37">
        <f>'Community Scenario'!E18*365</f>
        <v>115991.84460659898</v>
      </c>
      <c r="J38" s="30">
        <f>(I38-D38)/D38</f>
        <v>0.5879458794587943</v>
      </c>
      <c r="K38" s="1"/>
      <c r="L38" s="1"/>
    </row>
    <row r="39" spans="1:12" ht="12.75">
      <c r="A39" s="57"/>
      <c r="B39" s="4" t="s">
        <v>66</v>
      </c>
      <c r="C39" s="4" t="s">
        <v>62</v>
      </c>
      <c r="D39" s="37">
        <f>Existing!E20*365</f>
        <v>48142.88026932084</v>
      </c>
      <c r="E39" s="37">
        <f>'Base Scenario'!E20*365</f>
        <v>74375.71662763465</v>
      </c>
      <c r="F39" s="28">
        <f>(E39-D39)/D39</f>
        <v>0.5448954489544895</v>
      </c>
      <c r="G39" s="37">
        <f>'Std Alt'!E20*365</f>
        <v>74375.71662763465</v>
      </c>
      <c r="H39" s="29">
        <f>(G39-D39)/D39</f>
        <v>0.5448954489544895</v>
      </c>
      <c r="I39" s="37">
        <f>'Community Scenario'!E20*365</f>
        <v>76448.28834894612</v>
      </c>
      <c r="J39" s="30">
        <f>(I39-D39)/D39</f>
        <v>0.5879458794587944</v>
      </c>
      <c r="K39" s="1"/>
      <c r="L39" s="1"/>
    </row>
    <row r="40" spans="1:12" ht="12.75">
      <c r="A40" s="57"/>
      <c r="B40" s="4" t="s">
        <v>67</v>
      </c>
      <c r="C40" s="4" t="s">
        <v>62</v>
      </c>
      <c r="D40" s="37">
        <f>Existing!E19*365</f>
        <v>23895.56113002325</v>
      </c>
      <c r="E40" s="37">
        <f>'Base Scenario'!E19*365</f>
        <v>36916.143639986716</v>
      </c>
      <c r="F40" s="28">
        <f>(E40-D40)/D40</f>
        <v>0.5448954489544896</v>
      </c>
      <c r="G40" s="37">
        <f>'Std Alt'!E19*365</f>
        <v>36916.143639986716</v>
      </c>
      <c r="H40" s="29">
        <f>(G40-D40)/D40</f>
        <v>0.5448954489544896</v>
      </c>
      <c r="I40" s="37">
        <f>'Community Scenario'!E19*365</f>
        <v>37944.85783377615</v>
      </c>
      <c r="J40" s="30" t="s">
        <v>69</v>
      </c>
      <c r="K40" s="1"/>
      <c r="L40" s="1"/>
    </row>
    <row r="41" spans="1:10" ht="15">
      <c r="A41" s="57"/>
      <c r="B41" s="54" t="s">
        <v>42</v>
      </c>
      <c r="C41" s="54" t="s">
        <v>168</v>
      </c>
      <c r="D41" s="56">
        <f>Existing!E29</f>
        <v>0.0910209102091021</v>
      </c>
      <c r="E41" s="55">
        <f>'Base Scenario'!E29</f>
        <v>0.08280254777070063</v>
      </c>
      <c r="F41" s="28">
        <f>(E41-D41)/D41</f>
        <v>-0.09029092787054578</v>
      </c>
      <c r="G41" s="55">
        <f>'Std Alt'!E29</f>
        <v>0.11942675159235669</v>
      </c>
      <c r="H41" s="29">
        <f>(G41-D41)/D41</f>
        <v>0.3120803924944052</v>
      </c>
      <c r="I41" s="55">
        <f>'Community Scenario'!E29</f>
        <v>0.07784663051897754</v>
      </c>
      <c r="J41" s="30" t="s">
        <v>69</v>
      </c>
    </row>
  </sheetData>
  <sheetProtection/>
  <mergeCells count="7">
    <mergeCell ref="A35:A41"/>
    <mergeCell ref="A26:A28"/>
    <mergeCell ref="A30:A33"/>
    <mergeCell ref="A2:A5"/>
    <mergeCell ref="A7:A11"/>
    <mergeCell ref="A13:A14"/>
    <mergeCell ref="A16:A24"/>
  </mergeCells>
  <printOptions/>
  <pageMargins left="0.75" right="0.75" top="1" bottom="1" header="0.5" footer="0.5"/>
  <pageSetup fitToHeight="1" fitToWidth="1" horizontalDpi="600" verticalDpi="600" orientation="landscape" scale="85" r:id="rId1"/>
  <headerFooter alignWithMargins="0">
    <oddFooter>&amp;C2</oddFooter>
  </headerFooter>
</worksheet>
</file>

<file path=xl/worksheets/sheet2.xml><?xml version="1.0" encoding="utf-8"?>
<worksheet xmlns="http://schemas.openxmlformats.org/spreadsheetml/2006/main" xmlns:r="http://schemas.openxmlformats.org/officeDocument/2006/relationships">
  <dimension ref="A1:F48"/>
  <sheetViews>
    <sheetView zoomScalePageLayoutView="0" workbookViewId="0" topLeftCell="A1">
      <selection activeCell="F34" sqref="F34"/>
    </sheetView>
  </sheetViews>
  <sheetFormatPr defaultColWidth="25.00390625" defaultRowHeight="12.75"/>
  <sheetData>
    <row r="1" spans="1:5" ht="13.5" thickBot="1">
      <c r="A1" s="10" t="s">
        <v>0</v>
      </c>
      <c r="B1" s="11" t="s">
        <v>7</v>
      </c>
      <c r="C1" s="11" t="s">
        <v>70</v>
      </c>
      <c r="D1" s="11" t="s">
        <v>71</v>
      </c>
      <c r="E1" s="18" t="s">
        <v>132</v>
      </c>
    </row>
    <row r="2" spans="1:5" ht="13.5" thickBot="1">
      <c r="A2" s="59" t="s">
        <v>72</v>
      </c>
      <c r="B2" s="12" t="s">
        <v>73</v>
      </c>
      <c r="C2" s="13">
        <v>1626</v>
      </c>
      <c r="D2" s="14" t="s">
        <v>133</v>
      </c>
      <c r="E2">
        <f aca="true" t="shared" si="0" ref="E2:E9">C2</f>
        <v>1626</v>
      </c>
    </row>
    <row r="3" spans="1:5" ht="13.5" thickBot="1">
      <c r="A3" s="60"/>
      <c r="B3" s="12" t="s">
        <v>74</v>
      </c>
      <c r="C3" s="13">
        <v>1636</v>
      </c>
      <c r="D3" s="14" t="s">
        <v>133</v>
      </c>
      <c r="E3">
        <f t="shared" si="0"/>
        <v>1636</v>
      </c>
    </row>
    <row r="4" spans="1:5" ht="13.5" thickBot="1">
      <c r="A4" s="60"/>
      <c r="B4" s="12" t="s">
        <v>75</v>
      </c>
      <c r="C4" s="13">
        <v>232950</v>
      </c>
      <c r="D4" s="14" t="s">
        <v>133</v>
      </c>
      <c r="E4">
        <f t="shared" si="0"/>
        <v>232950</v>
      </c>
    </row>
    <row r="5" spans="1:5" ht="13.5" thickBot="1">
      <c r="A5" s="60"/>
      <c r="B5" s="12" t="s">
        <v>8</v>
      </c>
      <c r="C5" s="13">
        <v>1407</v>
      </c>
      <c r="D5" s="14" t="s">
        <v>133</v>
      </c>
      <c r="E5">
        <f t="shared" si="0"/>
        <v>1407</v>
      </c>
    </row>
    <row r="6" spans="1:5" ht="26.25" thickBot="1">
      <c r="A6" s="60"/>
      <c r="B6" s="12" t="s">
        <v>9</v>
      </c>
      <c r="C6" s="13">
        <v>60</v>
      </c>
      <c r="D6" s="14" t="s">
        <v>133</v>
      </c>
      <c r="E6">
        <f t="shared" si="0"/>
        <v>60</v>
      </c>
    </row>
    <row r="7" spans="1:5" ht="13.5" thickBot="1">
      <c r="A7" s="60"/>
      <c r="B7" s="12" t="s">
        <v>76</v>
      </c>
      <c r="C7" s="13">
        <f>C6+C5</f>
        <v>1467</v>
      </c>
      <c r="D7" s="14" t="s">
        <v>133</v>
      </c>
      <c r="E7">
        <f t="shared" si="0"/>
        <v>1467</v>
      </c>
    </row>
    <row r="8" spans="1:5" ht="13.5" thickBot="1">
      <c r="A8" s="61"/>
      <c r="B8" s="15" t="s">
        <v>77</v>
      </c>
      <c r="C8" s="26">
        <v>7.56</v>
      </c>
      <c r="D8" s="13" t="s">
        <v>131</v>
      </c>
      <c r="E8">
        <f t="shared" si="0"/>
        <v>7.56</v>
      </c>
    </row>
    <row r="9" spans="1:5" ht="13.5" thickBot="1">
      <c r="A9" s="16"/>
      <c r="B9" s="15" t="s">
        <v>78</v>
      </c>
      <c r="C9" s="13">
        <v>567.4</v>
      </c>
      <c r="D9" s="14" t="s">
        <v>133</v>
      </c>
      <c r="E9">
        <f t="shared" si="0"/>
        <v>567.4</v>
      </c>
    </row>
    <row r="10" spans="1:5" ht="26.25" thickBot="1">
      <c r="A10" s="59" t="s">
        <v>16</v>
      </c>
      <c r="B10" s="12" t="s">
        <v>17</v>
      </c>
      <c r="C10" s="14" t="s">
        <v>79</v>
      </c>
      <c r="D10" s="14" t="s">
        <v>80</v>
      </c>
      <c r="E10">
        <f>B46*C2</f>
        <v>4178.82</v>
      </c>
    </row>
    <row r="11" spans="1:5" ht="39" thickBot="1">
      <c r="A11" s="60"/>
      <c r="B11" s="12" t="s">
        <v>18</v>
      </c>
      <c r="C11" s="15" t="s">
        <v>81</v>
      </c>
      <c r="D11" s="14" t="s">
        <v>82</v>
      </c>
      <c r="E11">
        <f>E10*0.189</f>
        <v>789.79698</v>
      </c>
    </row>
    <row r="12" spans="1:5" ht="64.5" thickBot="1">
      <c r="A12" s="60"/>
      <c r="B12" s="12" t="s">
        <v>83</v>
      </c>
      <c r="C12" s="15" t="s">
        <v>84</v>
      </c>
      <c r="D12" s="14" t="s">
        <v>85</v>
      </c>
      <c r="E12">
        <f>E10*0.4089</f>
        <v>1708.719498</v>
      </c>
    </row>
    <row r="13" spans="1:5" ht="77.25" thickBot="1">
      <c r="A13" s="60"/>
      <c r="B13" s="12" t="s">
        <v>22</v>
      </c>
      <c r="C13" s="15" t="s">
        <v>86</v>
      </c>
      <c r="D13" s="14" t="s">
        <v>87</v>
      </c>
      <c r="E13">
        <f>C4/823</f>
        <v>283.0498177399757</v>
      </c>
    </row>
    <row r="14" spans="1:5" ht="26.25" thickBot="1">
      <c r="A14" s="61"/>
      <c r="B14" s="12" t="s">
        <v>24</v>
      </c>
      <c r="C14" s="15" t="s">
        <v>88</v>
      </c>
      <c r="D14" s="14"/>
      <c r="E14">
        <f>E13/E2</f>
        <v>0.1740773786838719</v>
      </c>
    </row>
    <row r="15" spans="1:5" ht="26.25" thickBot="1">
      <c r="A15" s="59" t="s">
        <v>58</v>
      </c>
      <c r="B15" s="15" t="s">
        <v>59</v>
      </c>
      <c r="C15" s="15" t="s">
        <v>89</v>
      </c>
      <c r="D15" s="14" t="s">
        <v>90</v>
      </c>
      <c r="E15">
        <f>E2*1.84</f>
        <v>2991.84</v>
      </c>
    </row>
    <row r="16" spans="1:5" ht="90" thickBot="1">
      <c r="A16" s="60"/>
      <c r="B16" s="15" t="s">
        <v>91</v>
      </c>
      <c r="C16" s="15" t="s">
        <v>92</v>
      </c>
      <c r="D16" s="14" t="s">
        <v>93</v>
      </c>
      <c r="E16">
        <f>E2*5.95</f>
        <v>9674.7</v>
      </c>
    </row>
    <row r="17" spans="1:5" ht="64.5" thickBot="1">
      <c r="A17" s="60"/>
      <c r="B17" s="15" t="s">
        <v>94</v>
      </c>
      <c r="C17" s="15" t="s">
        <v>95</v>
      </c>
      <c r="D17" s="62" t="s">
        <v>96</v>
      </c>
      <c r="E17">
        <f>(E16*9.78)/(24*476.76)</f>
        <v>8.269234520513466</v>
      </c>
    </row>
    <row r="18" spans="1:5" ht="64.5" thickBot="1">
      <c r="A18" s="60"/>
      <c r="B18" s="15" t="s">
        <v>97</v>
      </c>
      <c r="C18" s="15" t="s">
        <v>98</v>
      </c>
      <c r="D18" s="63"/>
      <c r="E18">
        <f>($E$16*9.78)/(24*19.7)</f>
        <v>200.12387055837567</v>
      </c>
    </row>
    <row r="19" spans="1:5" ht="64.5" thickBot="1">
      <c r="A19" s="60"/>
      <c r="B19" s="15" t="s">
        <v>99</v>
      </c>
      <c r="C19" s="15" t="s">
        <v>100</v>
      </c>
      <c r="D19" s="63"/>
      <c r="E19">
        <f>($E$16*9.78)/(24*60.22)</f>
        <v>65.46729076718698</v>
      </c>
    </row>
    <row r="20" spans="1:5" ht="64.5" thickBot="1">
      <c r="A20" s="61"/>
      <c r="B20" s="15" t="s">
        <v>101</v>
      </c>
      <c r="C20" s="15" t="s">
        <v>102</v>
      </c>
      <c r="D20" s="64"/>
      <c r="E20">
        <f>($E$16*9.78)/(24*29.89)</f>
        <v>131.89830210772834</v>
      </c>
    </row>
    <row r="21" spans="1:5" ht="64.5" thickBot="1">
      <c r="A21" s="59" t="s">
        <v>103</v>
      </c>
      <c r="B21" s="15" t="s">
        <v>56</v>
      </c>
      <c r="C21" s="15" t="s">
        <v>104</v>
      </c>
      <c r="D21" s="14" t="s">
        <v>105</v>
      </c>
      <c r="E21">
        <f>E2*391</f>
        <v>635766</v>
      </c>
    </row>
    <row r="22" spans="1:5" ht="64.5" thickBot="1">
      <c r="A22" s="60"/>
      <c r="B22" s="15" t="s">
        <v>54</v>
      </c>
      <c r="C22" s="15" t="s">
        <v>106</v>
      </c>
      <c r="D22" s="14" t="s">
        <v>107</v>
      </c>
      <c r="E22">
        <f>E2*101</f>
        <v>164226</v>
      </c>
    </row>
    <row r="23" spans="1:5" ht="90" thickBot="1">
      <c r="A23" s="60"/>
      <c r="B23" s="15" t="s">
        <v>55</v>
      </c>
      <c r="C23" s="15" t="s">
        <v>108</v>
      </c>
      <c r="D23" s="14" t="s">
        <v>109</v>
      </c>
      <c r="E23">
        <f>E4*85.1</f>
        <v>19824045</v>
      </c>
    </row>
    <row r="24" spans="1:5" ht="26.25" thickBot="1">
      <c r="A24" s="61"/>
      <c r="B24" s="15" t="s">
        <v>110</v>
      </c>
      <c r="C24" s="15" t="s">
        <v>111</v>
      </c>
      <c r="D24" s="14"/>
      <c r="E24">
        <f>E22+E23</f>
        <v>19988271</v>
      </c>
    </row>
    <row r="25" spans="1:5" ht="13.5" thickBot="1">
      <c r="A25" s="59" t="s">
        <v>35</v>
      </c>
      <c r="B25" s="15" t="s">
        <v>112</v>
      </c>
      <c r="C25" s="15" t="s">
        <v>113</v>
      </c>
      <c r="D25" s="14"/>
      <c r="E25">
        <f>E7/E10</f>
        <v>0.3510560397432768</v>
      </c>
    </row>
    <row r="26" spans="1:5" ht="13.5" thickBot="1">
      <c r="A26" s="60"/>
      <c r="B26" s="15" t="s">
        <v>30</v>
      </c>
      <c r="C26" s="15" t="s">
        <v>114</v>
      </c>
      <c r="D26" s="14"/>
      <c r="E26">
        <f>E10/B47</f>
        <v>353.32882387756825</v>
      </c>
    </row>
    <row r="27" spans="1:5" ht="26.25" thickBot="1">
      <c r="A27" s="60"/>
      <c r="B27" s="15" t="s">
        <v>32</v>
      </c>
      <c r="C27" s="15" t="s">
        <v>115</v>
      </c>
      <c r="D27" s="14"/>
      <c r="E27">
        <f>E2/E5</f>
        <v>1.1556503198294243</v>
      </c>
    </row>
    <row r="28" spans="1:5" ht="26.25" thickBot="1">
      <c r="A28" s="60"/>
      <c r="B28" s="15" t="s">
        <v>116</v>
      </c>
      <c r="C28" s="15" t="s">
        <v>117</v>
      </c>
      <c r="D28" s="14"/>
      <c r="E28">
        <f>E13/E6</f>
        <v>4.717496962332929</v>
      </c>
    </row>
    <row r="29" spans="1:6" ht="45.75" thickBot="1">
      <c r="A29" s="60"/>
      <c r="B29" s="19" t="s">
        <v>42</v>
      </c>
      <c r="C29" s="20" t="s">
        <v>136</v>
      </c>
      <c r="D29" s="19" t="s">
        <v>142</v>
      </c>
      <c r="E29" s="40">
        <f>(F29/C2)</f>
        <v>0.0910209102091021</v>
      </c>
      <c r="F29">
        <v>148</v>
      </c>
    </row>
    <row r="30" spans="1:5" ht="45.75" thickBot="1">
      <c r="A30" s="60"/>
      <c r="B30" s="19" t="s">
        <v>40</v>
      </c>
      <c r="C30" s="19" t="s">
        <v>137</v>
      </c>
      <c r="D30" s="19" t="s">
        <v>142</v>
      </c>
      <c r="E30" s="21">
        <v>7336</v>
      </c>
    </row>
    <row r="31" spans="1:5" ht="45.75" thickBot="1">
      <c r="A31" s="60"/>
      <c r="B31" s="19" t="s">
        <v>41</v>
      </c>
      <c r="C31" s="20" t="s">
        <v>138</v>
      </c>
      <c r="D31" s="19" t="s">
        <v>142</v>
      </c>
      <c r="E31" s="21">
        <v>4258</v>
      </c>
    </row>
    <row r="32" spans="1:5" ht="45.75" thickBot="1">
      <c r="A32" s="60"/>
      <c r="B32" s="19" t="s">
        <v>43</v>
      </c>
      <c r="C32" s="20" t="s">
        <v>139</v>
      </c>
      <c r="D32" s="19" t="s">
        <v>142</v>
      </c>
      <c r="E32" s="21">
        <v>26214</v>
      </c>
    </row>
    <row r="33" spans="1:5" ht="60.75" thickBot="1">
      <c r="A33" s="60"/>
      <c r="B33" s="19" t="s">
        <v>44</v>
      </c>
      <c r="C33" s="19" t="s">
        <v>140</v>
      </c>
      <c r="D33" s="19" t="s">
        <v>142</v>
      </c>
      <c r="E33" s="21">
        <v>24710</v>
      </c>
    </row>
    <row r="34" spans="1:5" ht="45.75" thickBot="1">
      <c r="A34" s="60"/>
      <c r="B34" s="19" t="s">
        <v>38</v>
      </c>
      <c r="C34" s="19" t="s">
        <v>141</v>
      </c>
      <c r="D34" s="19" t="s">
        <v>142</v>
      </c>
      <c r="E34" s="21">
        <v>5004</v>
      </c>
    </row>
    <row r="35" spans="1:5" ht="26.25" thickBot="1">
      <c r="A35" s="61"/>
      <c r="B35" s="15" t="s">
        <v>118</v>
      </c>
      <c r="C35" s="15" t="s">
        <v>119</v>
      </c>
      <c r="D35" s="14"/>
      <c r="E35">
        <f>E8/E10</f>
        <v>0.0018091231495972547</v>
      </c>
    </row>
    <row r="36" spans="1:5" ht="51.75" thickBot="1">
      <c r="A36" s="59" t="s">
        <v>120</v>
      </c>
      <c r="B36" s="12" t="s">
        <v>26</v>
      </c>
      <c r="C36" s="13" t="s">
        <v>121</v>
      </c>
      <c r="D36" s="14"/>
      <c r="E36" s="22">
        <f>E9/B48</f>
        <v>0.07496089456328739</v>
      </c>
    </row>
    <row r="37" spans="1:5" ht="15.75" thickBot="1">
      <c r="A37" s="60"/>
      <c r="B37" s="23" t="s">
        <v>122</v>
      </c>
      <c r="C37" s="24"/>
      <c r="D37" s="24" t="s">
        <v>123</v>
      </c>
      <c r="E37" s="25"/>
    </row>
    <row r="38" spans="1:5" ht="15.75" thickBot="1">
      <c r="A38" s="61"/>
      <c r="B38" s="23" t="s">
        <v>124</v>
      </c>
      <c r="C38" s="24"/>
      <c r="D38" s="24" t="s">
        <v>123</v>
      </c>
      <c r="E38" s="25"/>
    </row>
    <row r="39" spans="1:5" ht="39" thickBot="1">
      <c r="A39" s="59" t="s">
        <v>45</v>
      </c>
      <c r="B39" s="12" t="s">
        <v>49</v>
      </c>
      <c r="C39" s="15" t="s">
        <v>125</v>
      </c>
      <c r="D39" s="14" t="s">
        <v>123</v>
      </c>
      <c r="E39">
        <f>E10*0.39</f>
        <v>1629.7397999999998</v>
      </c>
    </row>
    <row r="40" spans="1:4" ht="13.5" thickBot="1">
      <c r="A40" s="60"/>
      <c r="B40" s="12" t="s">
        <v>126</v>
      </c>
      <c r="C40" s="15"/>
      <c r="D40" s="14"/>
    </row>
    <row r="41" spans="1:5" ht="26.25" thickBot="1">
      <c r="A41" s="60"/>
      <c r="B41" s="12" t="s">
        <v>127</v>
      </c>
      <c r="C41" s="15" t="s">
        <v>128</v>
      </c>
      <c r="D41" s="14" t="s">
        <v>123</v>
      </c>
      <c r="E41">
        <f>E10*0.08</f>
        <v>334.30559999999997</v>
      </c>
    </row>
    <row r="42" spans="1:5" ht="26.25" thickBot="1">
      <c r="A42" s="61"/>
      <c r="B42" s="12" t="s">
        <v>129</v>
      </c>
      <c r="C42" s="15" t="s">
        <v>130</v>
      </c>
      <c r="D42" s="14" t="s">
        <v>123</v>
      </c>
      <c r="E42">
        <f>E10*1.28</f>
        <v>5348.8895999999995</v>
      </c>
    </row>
    <row r="46" spans="1:2" ht="12.75">
      <c r="A46" s="17" t="s">
        <v>134</v>
      </c>
      <c r="B46">
        <v>2.57</v>
      </c>
    </row>
    <row r="47" spans="1:2" ht="12.75">
      <c r="A47" s="17" t="s">
        <v>135</v>
      </c>
      <c r="B47">
        <v>11.827</v>
      </c>
    </row>
    <row r="48" spans="1:2" ht="12.75">
      <c r="A48" s="17" t="s">
        <v>143</v>
      </c>
      <c r="B48">
        <f>B47*640</f>
        <v>7569.28</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3.xml><?xml version="1.0" encoding="utf-8"?>
<worksheet xmlns="http://schemas.openxmlformats.org/spreadsheetml/2006/main" xmlns:r="http://schemas.openxmlformats.org/officeDocument/2006/relationships">
  <dimension ref="A1:F48"/>
  <sheetViews>
    <sheetView zoomScalePageLayoutView="0" workbookViewId="0" topLeftCell="A25">
      <selection activeCell="E34" sqref="E34"/>
    </sheetView>
  </sheetViews>
  <sheetFormatPr defaultColWidth="9.140625" defaultRowHeight="12.75"/>
  <cols>
    <col min="1" max="5" width="36.421875" style="0" customWidth="1"/>
  </cols>
  <sheetData>
    <row r="1" spans="1:5" ht="13.5" thickBot="1">
      <c r="A1" s="10" t="s">
        <v>0</v>
      </c>
      <c r="B1" s="11" t="s">
        <v>7</v>
      </c>
      <c r="C1" s="11" t="s">
        <v>70</v>
      </c>
      <c r="D1" s="11" t="s">
        <v>71</v>
      </c>
      <c r="E1" s="18" t="s">
        <v>132</v>
      </c>
    </row>
    <row r="2" spans="1:5" ht="13.5" thickBot="1">
      <c r="A2" s="59" t="s">
        <v>72</v>
      </c>
      <c r="B2" s="12" t="s">
        <v>73</v>
      </c>
      <c r="C2" s="13">
        <v>2512</v>
      </c>
      <c r="D2" s="14" t="s">
        <v>133</v>
      </c>
      <c r="E2">
        <f aca="true" t="shared" si="0" ref="E2:E9">C2</f>
        <v>2512</v>
      </c>
    </row>
    <row r="3" spans="1:5" ht="13.5" thickBot="1">
      <c r="A3" s="60"/>
      <c r="B3" s="12" t="s">
        <v>74</v>
      </c>
      <c r="C3" s="13">
        <v>2538</v>
      </c>
      <c r="D3" s="14" t="s">
        <v>133</v>
      </c>
      <c r="E3">
        <f t="shared" si="0"/>
        <v>2538</v>
      </c>
    </row>
    <row r="4" spans="1:5" ht="13.5" thickBot="1">
      <c r="A4" s="60"/>
      <c r="B4" s="12" t="s">
        <v>75</v>
      </c>
      <c r="C4" s="13">
        <v>2032146</v>
      </c>
      <c r="D4" s="14" t="s">
        <v>133</v>
      </c>
      <c r="E4">
        <f t="shared" si="0"/>
        <v>2032146</v>
      </c>
    </row>
    <row r="5" spans="1:5" ht="13.5" thickBot="1">
      <c r="A5" s="60"/>
      <c r="B5" s="12" t="s">
        <v>8</v>
      </c>
      <c r="C5" s="13">
        <v>3526</v>
      </c>
      <c r="D5" s="14" t="s">
        <v>133</v>
      </c>
      <c r="E5">
        <f t="shared" si="0"/>
        <v>3526</v>
      </c>
    </row>
    <row r="6" spans="1:5" ht="13.5" thickBot="1">
      <c r="A6" s="60"/>
      <c r="B6" s="12" t="s">
        <v>9</v>
      </c>
      <c r="C6" s="13">
        <v>233</v>
      </c>
      <c r="D6" s="14" t="s">
        <v>133</v>
      </c>
      <c r="E6">
        <f>C6</f>
        <v>233</v>
      </c>
    </row>
    <row r="7" spans="1:5" ht="13.5" thickBot="1">
      <c r="A7" s="60"/>
      <c r="B7" s="12" t="s">
        <v>76</v>
      </c>
      <c r="C7" s="13">
        <f>C6+C5</f>
        <v>3759</v>
      </c>
      <c r="D7" s="14" t="s">
        <v>133</v>
      </c>
      <c r="E7">
        <f t="shared" si="0"/>
        <v>3759</v>
      </c>
    </row>
    <row r="8" spans="1:5" ht="13.5" thickBot="1">
      <c r="A8" s="61"/>
      <c r="B8" s="15" t="s">
        <v>77</v>
      </c>
      <c r="C8" s="26">
        <v>7.56</v>
      </c>
      <c r="D8" s="13" t="s">
        <v>131</v>
      </c>
      <c r="E8">
        <f t="shared" si="0"/>
        <v>7.56</v>
      </c>
    </row>
    <row r="9" spans="1:5" ht="13.5" thickBot="1">
      <c r="A9" s="16"/>
      <c r="B9" s="15" t="s">
        <v>78</v>
      </c>
      <c r="C9" s="13">
        <v>567</v>
      </c>
      <c r="D9" s="14" t="s">
        <v>133</v>
      </c>
      <c r="E9">
        <f t="shared" si="0"/>
        <v>567</v>
      </c>
    </row>
    <row r="10" spans="1:5" ht="26.25" thickBot="1">
      <c r="A10" s="59" t="s">
        <v>16</v>
      </c>
      <c r="B10" s="12" t="s">
        <v>17</v>
      </c>
      <c r="C10" s="14" t="s">
        <v>79</v>
      </c>
      <c r="D10" s="14" t="s">
        <v>80</v>
      </c>
      <c r="E10">
        <f>B46*C2</f>
        <v>6455.839999999999</v>
      </c>
    </row>
    <row r="11" spans="1:5" ht="26.25" thickBot="1">
      <c r="A11" s="60"/>
      <c r="B11" s="12" t="s">
        <v>18</v>
      </c>
      <c r="C11" s="15" t="s">
        <v>81</v>
      </c>
      <c r="D11" s="14" t="s">
        <v>82</v>
      </c>
      <c r="E11">
        <f>E10*0.189</f>
        <v>1220.15376</v>
      </c>
    </row>
    <row r="12" spans="1:5" ht="39" thickBot="1">
      <c r="A12" s="60"/>
      <c r="B12" s="12" t="s">
        <v>83</v>
      </c>
      <c r="C12" s="15" t="s">
        <v>84</v>
      </c>
      <c r="D12" s="14" t="s">
        <v>85</v>
      </c>
      <c r="E12">
        <f>E10*0.4089</f>
        <v>2639.7929759999997</v>
      </c>
    </row>
    <row r="13" spans="1:5" ht="51.75" thickBot="1">
      <c r="A13" s="60"/>
      <c r="B13" s="12" t="s">
        <v>22</v>
      </c>
      <c r="C13" s="15" t="s">
        <v>86</v>
      </c>
      <c r="D13" s="14" t="s">
        <v>87</v>
      </c>
      <c r="E13">
        <f>C4/823</f>
        <v>2469.1931956257595</v>
      </c>
    </row>
    <row r="14" spans="1:5" ht="13.5" thickBot="1">
      <c r="A14" s="61"/>
      <c r="B14" s="12" t="s">
        <v>24</v>
      </c>
      <c r="C14" s="15" t="s">
        <v>88</v>
      </c>
      <c r="D14" s="14"/>
      <c r="E14">
        <f>E13/E2</f>
        <v>0.9829590746917832</v>
      </c>
    </row>
    <row r="15" spans="1:5" ht="26.25" thickBot="1">
      <c r="A15" s="59" t="s">
        <v>58</v>
      </c>
      <c r="B15" s="15" t="s">
        <v>59</v>
      </c>
      <c r="C15" s="15" t="s">
        <v>89</v>
      </c>
      <c r="D15" s="14" t="s">
        <v>90</v>
      </c>
      <c r="E15">
        <f>E2*1.84</f>
        <v>4622.08</v>
      </c>
    </row>
    <row r="16" spans="1:5" ht="64.5" thickBot="1">
      <c r="A16" s="60"/>
      <c r="B16" s="15" t="s">
        <v>91</v>
      </c>
      <c r="C16" s="15" t="s">
        <v>92</v>
      </c>
      <c r="D16" s="14" t="s">
        <v>93</v>
      </c>
      <c r="E16">
        <f>E2*5.95</f>
        <v>14946.4</v>
      </c>
    </row>
    <row r="17" spans="1:5" ht="51.75" thickBot="1">
      <c r="A17" s="60"/>
      <c r="B17" s="15" t="s">
        <v>94</v>
      </c>
      <c r="C17" s="15" t="s">
        <v>95</v>
      </c>
      <c r="D17" s="62" t="s">
        <v>96</v>
      </c>
      <c r="E17">
        <f>(E16*9.78)/(24*476.76)</f>
        <v>12.775102777078613</v>
      </c>
    </row>
    <row r="18" spans="1:5" ht="51.75" thickBot="1">
      <c r="A18" s="60"/>
      <c r="B18" s="15" t="s">
        <v>97</v>
      </c>
      <c r="C18" s="15" t="s">
        <v>98</v>
      </c>
      <c r="D18" s="63"/>
      <c r="E18">
        <f>($E$16*9.78)/(24*19.7)</f>
        <v>309.17045685279186</v>
      </c>
    </row>
    <row r="19" spans="1:5" ht="51.75" thickBot="1">
      <c r="A19" s="60"/>
      <c r="B19" s="15" t="s">
        <v>99</v>
      </c>
      <c r="C19" s="15" t="s">
        <v>100</v>
      </c>
      <c r="D19" s="63"/>
      <c r="E19">
        <f>($E$16*9.78)/(24*60.22)</f>
        <v>101.14011956160743</v>
      </c>
    </row>
    <row r="20" spans="1:5" ht="51.75" thickBot="1">
      <c r="A20" s="61"/>
      <c r="B20" s="15" t="s">
        <v>101</v>
      </c>
      <c r="C20" s="15" t="s">
        <v>102</v>
      </c>
      <c r="D20" s="64"/>
      <c r="E20">
        <f>($E$16*9.78)/(24*29.89)</f>
        <v>203.76908665105384</v>
      </c>
    </row>
    <row r="21" spans="1:5" ht="51.75" thickBot="1">
      <c r="A21" s="59" t="s">
        <v>103</v>
      </c>
      <c r="B21" s="15" t="s">
        <v>56</v>
      </c>
      <c r="C21" s="15" t="s">
        <v>104</v>
      </c>
      <c r="D21" s="14" t="s">
        <v>105</v>
      </c>
      <c r="E21">
        <f>E2*391</f>
        <v>982192</v>
      </c>
    </row>
    <row r="22" spans="1:5" ht="51.75" thickBot="1">
      <c r="A22" s="60"/>
      <c r="B22" s="15" t="s">
        <v>54</v>
      </c>
      <c r="C22" s="15" t="s">
        <v>106</v>
      </c>
      <c r="D22" s="14" t="s">
        <v>107</v>
      </c>
      <c r="E22">
        <f>E2*101</f>
        <v>253712</v>
      </c>
    </row>
    <row r="23" spans="1:5" ht="64.5" thickBot="1">
      <c r="A23" s="60"/>
      <c r="B23" s="15" t="s">
        <v>55</v>
      </c>
      <c r="C23" s="15" t="s">
        <v>108</v>
      </c>
      <c r="D23" s="14" t="s">
        <v>109</v>
      </c>
      <c r="E23">
        <f>E4*85.1</f>
        <v>172935624.6</v>
      </c>
    </row>
    <row r="24" spans="1:5" ht="26.25" thickBot="1">
      <c r="A24" s="61"/>
      <c r="B24" s="15" t="s">
        <v>110</v>
      </c>
      <c r="C24" s="15" t="s">
        <v>111</v>
      </c>
      <c r="D24" s="14"/>
      <c r="E24">
        <f>E22+E23</f>
        <v>173189336.6</v>
      </c>
    </row>
    <row r="25" spans="1:5" ht="13.5" thickBot="1">
      <c r="A25" s="59" t="s">
        <v>35</v>
      </c>
      <c r="B25" s="15" t="s">
        <v>112</v>
      </c>
      <c r="C25" s="15" t="s">
        <v>113</v>
      </c>
      <c r="D25" s="14"/>
      <c r="E25">
        <f>E7/E10</f>
        <v>0.5822635009541749</v>
      </c>
    </row>
    <row r="26" spans="1:5" ht="13.5" thickBot="1">
      <c r="A26" s="60"/>
      <c r="B26" s="15" t="s">
        <v>30</v>
      </c>
      <c r="C26" s="15" t="s">
        <v>114</v>
      </c>
      <c r="D26" s="14"/>
      <c r="E26">
        <f>E10/B47</f>
        <v>545.8560919928975</v>
      </c>
    </row>
    <row r="27" spans="1:5" ht="26.25" thickBot="1">
      <c r="A27" s="60"/>
      <c r="B27" s="15" t="s">
        <v>32</v>
      </c>
      <c r="C27" s="15" t="s">
        <v>115</v>
      </c>
      <c r="D27" s="14"/>
      <c r="E27">
        <f>E2/E5</f>
        <v>0.7124220079410096</v>
      </c>
    </row>
    <row r="28" spans="1:5" ht="26.25" thickBot="1">
      <c r="A28" s="60"/>
      <c r="B28" s="15" t="s">
        <v>116</v>
      </c>
      <c r="C28" s="15" t="s">
        <v>117</v>
      </c>
      <c r="D28" s="14"/>
      <c r="E28">
        <f>E13/E6</f>
        <v>10.597395689380942</v>
      </c>
    </row>
    <row r="29" spans="1:6" s="21" customFormat="1" ht="30.75" thickBot="1">
      <c r="A29" s="60"/>
      <c r="B29" s="19" t="s">
        <v>42</v>
      </c>
      <c r="C29" s="20" t="s">
        <v>136</v>
      </c>
      <c r="D29" s="19" t="s">
        <v>142</v>
      </c>
      <c r="E29" s="40">
        <f>F29/C2</f>
        <v>0.08280254777070063</v>
      </c>
      <c r="F29" s="21">
        <v>208</v>
      </c>
    </row>
    <row r="30" spans="1:5" s="21" customFormat="1" ht="30.75" thickBot="1">
      <c r="A30" s="60"/>
      <c r="B30" s="19" t="s">
        <v>40</v>
      </c>
      <c r="C30" s="19" t="s">
        <v>137</v>
      </c>
      <c r="D30" s="19" t="s">
        <v>142</v>
      </c>
      <c r="E30" s="21">
        <v>7750</v>
      </c>
    </row>
    <row r="31" spans="1:5" s="21" customFormat="1" ht="30.75" thickBot="1">
      <c r="A31" s="60"/>
      <c r="B31" s="19" t="s">
        <v>41</v>
      </c>
      <c r="C31" s="20" t="s">
        <v>138</v>
      </c>
      <c r="D31" s="19" t="s">
        <v>142</v>
      </c>
      <c r="E31" s="21">
        <v>4144</v>
      </c>
    </row>
    <row r="32" spans="1:5" s="21" customFormat="1" ht="30.75" thickBot="1">
      <c r="A32" s="60"/>
      <c r="B32" s="19" t="s">
        <v>43</v>
      </c>
      <c r="C32" s="20" t="s">
        <v>139</v>
      </c>
      <c r="D32" s="19" t="s">
        <v>142</v>
      </c>
      <c r="E32" s="21">
        <v>26835</v>
      </c>
    </row>
    <row r="33" spans="1:5" s="21" customFormat="1" ht="45.75" thickBot="1">
      <c r="A33" s="60"/>
      <c r="B33" s="19" t="s">
        <v>44</v>
      </c>
      <c r="C33" s="19" t="s">
        <v>140</v>
      </c>
      <c r="D33" s="19" t="s">
        <v>142</v>
      </c>
      <c r="E33" s="21">
        <v>24662</v>
      </c>
    </row>
    <row r="34" spans="1:5" s="21" customFormat="1" ht="30.75" thickBot="1">
      <c r="A34" s="60"/>
      <c r="B34" s="19" t="s">
        <v>38</v>
      </c>
      <c r="C34" s="19" t="s">
        <v>141</v>
      </c>
      <c r="D34" s="19" t="s">
        <v>142</v>
      </c>
      <c r="E34" s="21">
        <v>5197</v>
      </c>
    </row>
    <row r="35" spans="1:5" ht="13.5" thickBot="1">
      <c r="A35" s="61"/>
      <c r="B35" s="15" t="s">
        <v>118</v>
      </c>
      <c r="C35" s="15" t="s">
        <v>119</v>
      </c>
      <c r="D35" s="14"/>
      <c r="E35">
        <f>E8/E10</f>
        <v>0.0011710327393491785</v>
      </c>
    </row>
    <row r="36" spans="1:5" ht="26.25" thickBot="1">
      <c r="A36" s="59" t="s">
        <v>120</v>
      </c>
      <c r="B36" s="12" t="s">
        <v>26</v>
      </c>
      <c r="C36" s="13" t="s">
        <v>121</v>
      </c>
      <c r="D36" s="14"/>
      <c r="E36" s="22">
        <f>E9/B48</f>
        <v>0.07490804937854063</v>
      </c>
    </row>
    <row r="37" spans="1:5" ht="15.75" thickBot="1">
      <c r="A37" s="60"/>
      <c r="B37" s="23" t="s">
        <v>122</v>
      </c>
      <c r="C37" s="24"/>
      <c r="D37" s="24" t="s">
        <v>123</v>
      </c>
      <c r="E37" s="25"/>
    </row>
    <row r="38" spans="1:5" ht="15.75" thickBot="1">
      <c r="A38" s="61"/>
      <c r="B38" s="23" t="s">
        <v>124</v>
      </c>
      <c r="C38" s="24"/>
      <c r="D38" s="24" t="s">
        <v>123</v>
      </c>
      <c r="E38" s="25"/>
    </row>
    <row r="39" spans="1:5" ht="26.25" thickBot="1">
      <c r="A39" s="59" t="s">
        <v>45</v>
      </c>
      <c r="B39" s="12" t="s">
        <v>49</v>
      </c>
      <c r="C39" s="15" t="s">
        <v>125</v>
      </c>
      <c r="D39" s="14" t="s">
        <v>123</v>
      </c>
      <c r="E39">
        <f>E10*0.39</f>
        <v>2517.7776</v>
      </c>
    </row>
    <row r="40" spans="1:4" ht="13.5" thickBot="1">
      <c r="A40" s="60"/>
      <c r="B40" s="12" t="s">
        <v>126</v>
      </c>
      <c r="C40" s="15"/>
      <c r="D40" s="14"/>
    </row>
    <row r="41" spans="1:5" ht="26.25" thickBot="1">
      <c r="A41" s="60"/>
      <c r="B41" s="12" t="s">
        <v>127</v>
      </c>
      <c r="C41" s="15" t="s">
        <v>128</v>
      </c>
      <c r="D41" s="14" t="s">
        <v>123</v>
      </c>
      <c r="E41">
        <f>E10*0.08</f>
        <v>516.4671999999999</v>
      </c>
    </row>
    <row r="42" spans="1:5" ht="26.25" thickBot="1">
      <c r="A42" s="61"/>
      <c r="B42" s="12" t="s">
        <v>129</v>
      </c>
      <c r="C42" s="15" t="s">
        <v>130</v>
      </c>
      <c r="D42" s="14" t="s">
        <v>123</v>
      </c>
      <c r="E42">
        <f>E10*1.28</f>
        <v>8263.475199999999</v>
      </c>
    </row>
    <row r="46" spans="1:2" ht="12.75">
      <c r="A46" s="17" t="s">
        <v>134</v>
      </c>
      <c r="B46">
        <v>2.57</v>
      </c>
    </row>
    <row r="47" spans="1:2" ht="12.75">
      <c r="A47" s="17" t="s">
        <v>135</v>
      </c>
      <c r="B47">
        <v>11.827</v>
      </c>
    </row>
    <row r="48" spans="1:2" ht="12.75">
      <c r="A48" s="17" t="s">
        <v>143</v>
      </c>
      <c r="B48">
        <f>B47*640</f>
        <v>7569.28</v>
      </c>
    </row>
  </sheetData>
  <sheetProtection/>
  <mergeCells count="8">
    <mergeCell ref="A39:A42"/>
    <mergeCell ref="A15:A20"/>
    <mergeCell ref="A2:A8"/>
    <mergeCell ref="A10:A14"/>
    <mergeCell ref="D17:D20"/>
    <mergeCell ref="A21:A24"/>
    <mergeCell ref="A25:A35"/>
    <mergeCell ref="A36:A38"/>
  </mergeCells>
  <printOptions/>
  <pageMargins left="0.7" right="0.7" top="0.75" bottom="0.75" header="0.3" footer="0.3"/>
  <pageSetup horizontalDpi="600" verticalDpi="600" orientation="portrait" r:id="rId1"/>
  <headerFooter>
    <oddFooter>&amp;C2</oddFooter>
  </headerFooter>
</worksheet>
</file>

<file path=xl/worksheets/sheet4.xml><?xml version="1.0" encoding="utf-8"?>
<worksheet xmlns="http://schemas.openxmlformats.org/spreadsheetml/2006/main" xmlns:r="http://schemas.openxmlformats.org/officeDocument/2006/relationships">
  <dimension ref="A1:F48"/>
  <sheetViews>
    <sheetView zoomScalePageLayoutView="0" workbookViewId="0" topLeftCell="A34">
      <selection activeCell="G36" sqref="G36"/>
    </sheetView>
  </sheetViews>
  <sheetFormatPr defaultColWidth="9.140625" defaultRowHeight="12.75"/>
  <cols>
    <col min="1" max="1" width="37.421875" style="0" bestFit="1" customWidth="1"/>
    <col min="2" max="4" width="30.00390625" style="0" customWidth="1"/>
    <col min="5" max="5" width="9.00390625" style="0" bestFit="1" customWidth="1"/>
  </cols>
  <sheetData>
    <row r="1" spans="1:5" ht="26.25" thickBot="1">
      <c r="A1" s="10" t="s">
        <v>0</v>
      </c>
      <c r="B1" s="11" t="s">
        <v>7</v>
      </c>
      <c r="C1" s="11" t="s">
        <v>70</v>
      </c>
      <c r="D1" s="11" t="s">
        <v>71</v>
      </c>
      <c r="E1" s="18" t="s">
        <v>132</v>
      </c>
    </row>
    <row r="2" spans="1:5" ht="13.5" thickBot="1">
      <c r="A2" s="59" t="s">
        <v>72</v>
      </c>
      <c r="B2" s="12" t="s">
        <v>73</v>
      </c>
      <c r="C2" s="13">
        <v>2512</v>
      </c>
      <c r="D2" s="14" t="s">
        <v>133</v>
      </c>
      <c r="E2">
        <f aca="true" t="shared" si="0" ref="E2:E9">C2</f>
        <v>2512</v>
      </c>
    </row>
    <row r="3" spans="1:5" ht="13.5" thickBot="1">
      <c r="A3" s="60"/>
      <c r="B3" s="12" t="s">
        <v>74</v>
      </c>
      <c r="C3" s="13">
        <v>2536</v>
      </c>
      <c r="D3" s="14" t="s">
        <v>133</v>
      </c>
      <c r="E3">
        <f t="shared" si="0"/>
        <v>2536</v>
      </c>
    </row>
    <row r="4" spans="1:5" ht="13.5" thickBot="1">
      <c r="A4" s="60"/>
      <c r="B4" s="12" t="s">
        <v>75</v>
      </c>
      <c r="C4" s="13">
        <v>795569</v>
      </c>
      <c r="D4" s="14" t="s">
        <v>133</v>
      </c>
      <c r="E4">
        <f t="shared" si="0"/>
        <v>795569</v>
      </c>
    </row>
    <row r="5" spans="1:5" ht="13.5" thickBot="1">
      <c r="A5" s="60"/>
      <c r="B5" s="12" t="s">
        <v>8</v>
      </c>
      <c r="C5" s="13">
        <v>3808.3</v>
      </c>
      <c r="D5" s="14" t="s">
        <v>133</v>
      </c>
      <c r="E5">
        <f t="shared" si="0"/>
        <v>3808.3</v>
      </c>
    </row>
    <row r="6" spans="1:5" ht="13.5" thickBot="1">
      <c r="A6" s="60"/>
      <c r="B6" s="12" t="s">
        <v>9</v>
      </c>
      <c r="C6" s="13">
        <v>239.22</v>
      </c>
      <c r="D6" s="14" t="s">
        <v>133</v>
      </c>
      <c r="E6">
        <f>C6</f>
        <v>239.22</v>
      </c>
    </row>
    <row r="7" spans="1:5" ht="13.5" thickBot="1">
      <c r="A7" s="60"/>
      <c r="B7" s="12" t="s">
        <v>76</v>
      </c>
      <c r="C7" s="13">
        <f>C6+C5</f>
        <v>4047.52</v>
      </c>
      <c r="D7" s="14" t="s">
        <v>133</v>
      </c>
      <c r="E7">
        <f t="shared" si="0"/>
        <v>4047.52</v>
      </c>
    </row>
    <row r="8" spans="1:5" ht="13.5" thickBot="1">
      <c r="A8" s="61"/>
      <c r="B8" s="15" t="s">
        <v>77</v>
      </c>
      <c r="C8" s="26">
        <v>7.56</v>
      </c>
      <c r="D8" s="13" t="s">
        <v>131</v>
      </c>
      <c r="E8">
        <f t="shared" si="0"/>
        <v>7.56</v>
      </c>
    </row>
    <row r="9" spans="1:5" ht="13.5" thickBot="1">
      <c r="A9" s="16"/>
      <c r="B9" s="15" t="s">
        <v>78</v>
      </c>
      <c r="C9" s="13">
        <v>567</v>
      </c>
      <c r="D9" s="14" t="s">
        <v>133</v>
      </c>
      <c r="E9">
        <f t="shared" si="0"/>
        <v>567</v>
      </c>
    </row>
    <row r="10" spans="1:5" ht="26.25" thickBot="1">
      <c r="A10" s="59" t="s">
        <v>16</v>
      </c>
      <c r="B10" s="12" t="s">
        <v>17</v>
      </c>
      <c r="C10" s="14" t="s">
        <v>79</v>
      </c>
      <c r="D10" s="14" t="s">
        <v>80</v>
      </c>
      <c r="E10">
        <f>B46*C2</f>
        <v>6455.839999999999</v>
      </c>
    </row>
    <row r="11" spans="1:5" ht="39" thickBot="1">
      <c r="A11" s="60"/>
      <c r="B11" s="12" t="s">
        <v>18</v>
      </c>
      <c r="C11" s="15" t="s">
        <v>81</v>
      </c>
      <c r="D11" s="14" t="s">
        <v>82</v>
      </c>
      <c r="E11">
        <f>E10*0.189</f>
        <v>1220.15376</v>
      </c>
    </row>
    <row r="12" spans="1:5" ht="51.75" thickBot="1">
      <c r="A12" s="60"/>
      <c r="B12" s="12" t="s">
        <v>83</v>
      </c>
      <c r="C12" s="15" t="s">
        <v>84</v>
      </c>
      <c r="D12" s="14" t="s">
        <v>85</v>
      </c>
      <c r="E12">
        <f>E10*0.4089</f>
        <v>2639.7929759999997</v>
      </c>
    </row>
    <row r="13" spans="1:5" ht="64.5" thickBot="1">
      <c r="A13" s="60"/>
      <c r="B13" s="12" t="s">
        <v>22</v>
      </c>
      <c r="C13" s="15" t="s">
        <v>86</v>
      </c>
      <c r="D13" s="14" t="s">
        <v>87</v>
      </c>
      <c r="E13">
        <f>C4/823</f>
        <v>966.6695018226003</v>
      </c>
    </row>
    <row r="14" spans="1:5" ht="13.5" thickBot="1">
      <c r="A14" s="61"/>
      <c r="B14" s="12" t="s">
        <v>24</v>
      </c>
      <c r="C14" s="15" t="s">
        <v>88</v>
      </c>
      <c r="D14" s="14"/>
      <c r="E14">
        <f>E13/E2</f>
        <v>0.3848206615535829</v>
      </c>
    </row>
    <row r="15" spans="1:5" ht="26.25" thickBot="1">
      <c r="A15" s="59" t="s">
        <v>58</v>
      </c>
      <c r="B15" s="15" t="s">
        <v>59</v>
      </c>
      <c r="C15" s="15" t="s">
        <v>89</v>
      </c>
      <c r="D15" s="14" t="s">
        <v>90</v>
      </c>
      <c r="E15">
        <f>E2*1.84</f>
        <v>4622.08</v>
      </c>
    </row>
    <row r="16" spans="1:5" ht="64.5" thickBot="1">
      <c r="A16" s="60"/>
      <c r="B16" s="15" t="s">
        <v>91</v>
      </c>
      <c r="C16" s="15" t="s">
        <v>92</v>
      </c>
      <c r="D16" s="14" t="s">
        <v>93</v>
      </c>
      <c r="E16">
        <f>E2*5.95</f>
        <v>14946.4</v>
      </c>
    </row>
    <row r="17" spans="1:5" ht="51.75" thickBot="1">
      <c r="A17" s="60"/>
      <c r="B17" s="15" t="s">
        <v>94</v>
      </c>
      <c r="C17" s="15" t="s">
        <v>95</v>
      </c>
      <c r="D17" s="62" t="s">
        <v>96</v>
      </c>
      <c r="E17">
        <f>(E16*9.78)/(24*476.76)</f>
        <v>12.775102777078613</v>
      </c>
    </row>
    <row r="18" spans="1:5" ht="51.75" thickBot="1">
      <c r="A18" s="60"/>
      <c r="B18" s="15" t="s">
        <v>97</v>
      </c>
      <c r="C18" s="15" t="s">
        <v>98</v>
      </c>
      <c r="D18" s="63"/>
      <c r="E18">
        <f>($E$16*9.78)/(24*19.7)</f>
        <v>309.17045685279186</v>
      </c>
    </row>
    <row r="19" spans="1:5" ht="51.75" thickBot="1">
      <c r="A19" s="60"/>
      <c r="B19" s="15" t="s">
        <v>99</v>
      </c>
      <c r="C19" s="15" t="s">
        <v>100</v>
      </c>
      <c r="D19" s="63"/>
      <c r="E19">
        <f>($E$16*9.78)/(24*60.22)</f>
        <v>101.14011956160743</v>
      </c>
    </row>
    <row r="20" spans="1:5" ht="51.75" thickBot="1">
      <c r="A20" s="61"/>
      <c r="B20" s="15" t="s">
        <v>101</v>
      </c>
      <c r="C20" s="15" t="s">
        <v>102</v>
      </c>
      <c r="D20" s="64"/>
      <c r="E20">
        <f>($E$16*9.78)/(24*29.89)</f>
        <v>203.76908665105384</v>
      </c>
    </row>
    <row r="21" spans="1:5" ht="64.5" thickBot="1">
      <c r="A21" s="59" t="s">
        <v>103</v>
      </c>
      <c r="B21" s="15" t="s">
        <v>56</v>
      </c>
      <c r="C21" s="15" t="s">
        <v>104</v>
      </c>
      <c r="D21" s="14" t="s">
        <v>105</v>
      </c>
      <c r="E21">
        <f>E2*391</f>
        <v>982192</v>
      </c>
    </row>
    <row r="22" spans="1:5" ht="51.75" thickBot="1">
      <c r="A22" s="60"/>
      <c r="B22" s="15" t="s">
        <v>54</v>
      </c>
      <c r="C22" s="15" t="s">
        <v>106</v>
      </c>
      <c r="D22" s="14" t="s">
        <v>107</v>
      </c>
      <c r="E22">
        <f>E2*101</f>
        <v>253712</v>
      </c>
    </row>
    <row r="23" spans="1:5" ht="77.25" thickBot="1">
      <c r="A23" s="60"/>
      <c r="B23" s="15" t="s">
        <v>55</v>
      </c>
      <c r="C23" s="15" t="s">
        <v>108</v>
      </c>
      <c r="D23" s="14" t="s">
        <v>109</v>
      </c>
      <c r="E23">
        <f>E4*85.1</f>
        <v>67702921.89999999</v>
      </c>
    </row>
    <row r="24" spans="1:5" ht="26.25" thickBot="1">
      <c r="A24" s="61"/>
      <c r="B24" s="15" t="s">
        <v>110</v>
      </c>
      <c r="C24" s="15" t="s">
        <v>111</v>
      </c>
      <c r="D24" s="14"/>
      <c r="E24">
        <f>E22+E23</f>
        <v>67956633.89999999</v>
      </c>
    </row>
    <row r="25" spans="1:5" ht="13.5" thickBot="1">
      <c r="A25" s="59" t="s">
        <v>35</v>
      </c>
      <c r="B25" s="15" t="s">
        <v>112</v>
      </c>
      <c r="C25" s="15" t="s">
        <v>113</v>
      </c>
      <c r="D25" s="14"/>
      <c r="E25">
        <f>E7/E10</f>
        <v>0.6269548192024587</v>
      </c>
    </row>
    <row r="26" spans="1:5" ht="13.5" thickBot="1">
      <c r="A26" s="60"/>
      <c r="B26" s="15" t="s">
        <v>30</v>
      </c>
      <c r="C26" s="15" t="s">
        <v>114</v>
      </c>
      <c r="D26" s="14"/>
      <c r="E26">
        <f>E10/B47</f>
        <v>545.8560919928975</v>
      </c>
    </row>
    <row r="27" spans="1:5" ht="26.25" thickBot="1">
      <c r="A27" s="60"/>
      <c r="B27" s="15" t="s">
        <v>32</v>
      </c>
      <c r="C27" s="15" t="s">
        <v>115</v>
      </c>
      <c r="D27" s="14"/>
      <c r="E27">
        <f>E2/E5</f>
        <v>0.6596119003229787</v>
      </c>
    </row>
    <row r="28" spans="1:5" ht="26.25" thickBot="1">
      <c r="A28" s="60"/>
      <c r="B28" s="15" t="s">
        <v>116</v>
      </c>
      <c r="C28" s="15" t="s">
        <v>117</v>
      </c>
      <c r="D28" s="14"/>
      <c r="E28">
        <f>E13/E6</f>
        <v>4.040922589342865</v>
      </c>
    </row>
    <row r="29" spans="1:6" ht="45.75" thickBot="1">
      <c r="A29" s="60"/>
      <c r="B29" s="19" t="s">
        <v>42</v>
      </c>
      <c r="C29" s="20" t="s">
        <v>136</v>
      </c>
      <c r="D29" s="19" t="s">
        <v>142</v>
      </c>
      <c r="E29" s="40">
        <f>F29/C2</f>
        <v>0.11942675159235669</v>
      </c>
      <c r="F29">
        <v>300</v>
      </c>
    </row>
    <row r="30" spans="1:5" ht="45.75" thickBot="1">
      <c r="A30" s="60"/>
      <c r="B30" s="19" t="s">
        <v>40</v>
      </c>
      <c r="C30" s="19" t="s">
        <v>137</v>
      </c>
      <c r="D30" s="19" t="s">
        <v>142</v>
      </c>
      <c r="E30" s="21">
        <v>7111</v>
      </c>
    </row>
    <row r="31" spans="1:5" ht="45.75" thickBot="1">
      <c r="A31" s="60"/>
      <c r="B31" s="19" t="s">
        <v>41</v>
      </c>
      <c r="C31" s="20" t="s">
        <v>138</v>
      </c>
      <c r="D31" s="19" t="s">
        <v>142</v>
      </c>
      <c r="E31" s="21">
        <v>4050</v>
      </c>
    </row>
    <row r="32" spans="1:5" ht="45.75" thickBot="1">
      <c r="A32" s="60"/>
      <c r="B32" s="19" t="s">
        <v>43</v>
      </c>
      <c r="C32" s="20" t="s">
        <v>139</v>
      </c>
      <c r="D32" s="19" t="s">
        <v>142</v>
      </c>
      <c r="E32" s="21">
        <v>26651</v>
      </c>
    </row>
    <row r="33" spans="1:5" ht="45.75" thickBot="1">
      <c r="A33" s="60"/>
      <c r="B33" s="19" t="s">
        <v>44</v>
      </c>
      <c r="C33" s="19" t="s">
        <v>140</v>
      </c>
      <c r="D33" s="19" t="s">
        <v>142</v>
      </c>
      <c r="E33" s="21">
        <v>25395</v>
      </c>
    </row>
    <row r="34" spans="1:5" ht="45.75" thickBot="1">
      <c r="A34" s="60"/>
      <c r="B34" s="19" t="s">
        <v>38</v>
      </c>
      <c r="C34" s="19" t="s">
        <v>141</v>
      </c>
      <c r="D34" s="19" t="s">
        <v>142</v>
      </c>
      <c r="E34" s="21">
        <v>4909</v>
      </c>
    </row>
    <row r="35" spans="1:5" ht="26.25" thickBot="1">
      <c r="A35" s="61"/>
      <c r="B35" s="15" t="s">
        <v>118</v>
      </c>
      <c r="C35" s="15" t="s">
        <v>119</v>
      </c>
      <c r="D35" s="14"/>
      <c r="E35">
        <f>E8/E10</f>
        <v>0.0011710327393491785</v>
      </c>
    </row>
    <row r="36" spans="1:5" ht="39" thickBot="1">
      <c r="A36" s="59" t="s">
        <v>120</v>
      </c>
      <c r="B36" s="12" t="s">
        <v>26</v>
      </c>
      <c r="C36" s="13" t="s">
        <v>121</v>
      </c>
      <c r="D36" s="14"/>
      <c r="E36" s="22">
        <f>E9/B48</f>
        <v>0.07490804937854063</v>
      </c>
    </row>
    <row r="37" spans="1:5" ht="15.75" thickBot="1">
      <c r="A37" s="60"/>
      <c r="B37" s="23" t="s">
        <v>122</v>
      </c>
      <c r="C37" s="24"/>
      <c r="D37" s="24" t="s">
        <v>123</v>
      </c>
      <c r="E37" s="25"/>
    </row>
    <row r="38" spans="1:5" ht="15.75" thickBot="1">
      <c r="A38" s="61"/>
      <c r="B38" s="23" t="s">
        <v>124</v>
      </c>
      <c r="C38" s="24"/>
      <c r="D38" s="24" t="s">
        <v>123</v>
      </c>
      <c r="E38" s="25"/>
    </row>
    <row r="39" spans="1:5" ht="39" thickBot="1">
      <c r="A39" s="59" t="s">
        <v>45</v>
      </c>
      <c r="B39" s="12" t="s">
        <v>49</v>
      </c>
      <c r="C39" s="15" t="s">
        <v>125</v>
      </c>
      <c r="D39" s="14" t="s">
        <v>123</v>
      </c>
      <c r="E39">
        <f>E10*0.39</f>
        <v>2517.7776</v>
      </c>
    </row>
    <row r="40" spans="1:4" ht="13.5" thickBot="1">
      <c r="A40" s="60"/>
      <c r="B40" s="12" t="s">
        <v>126</v>
      </c>
      <c r="C40" s="15"/>
      <c r="D40" s="14"/>
    </row>
    <row r="41" spans="1:5" ht="26.25" thickBot="1">
      <c r="A41" s="60"/>
      <c r="B41" s="12" t="s">
        <v>127</v>
      </c>
      <c r="C41" s="15" t="s">
        <v>128</v>
      </c>
      <c r="D41" s="14" t="s">
        <v>123</v>
      </c>
      <c r="E41">
        <f>E10*0.08</f>
        <v>516.4671999999999</v>
      </c>
    </row>
    <row r="42" spans="1:5" ht="26.25" thickBot="1">
      <c r="A42" s="61"/>
      <c r="B42" s="12" t="s">
        <v>129</v>
      </c>
      <c r="C42" s="15" t="s">
        <v>130</v>
      </c>
      <c r="D42" s="14" t="s">
        <v>123</v>
      </c>
      <c r="E42">
        <f>E10*1.28</f>
        <v>8263.475199999999</v>
      </c>
    </row>
    <row r="46" spans="1:2" ht="12.75">
      <c r="A46" s="17" t="s">
        <v>134</v>
      </c>
      <c r="B46">
        <v>2.57</v>
      </c>
    </row>
    <row r="47" spans="1:2" ht="12.75">
      <c r="A47" s="17" t="s">
        <v>135</v>
      </c>
      <c r="B47">
        <v>11.827</v>
      </c>
    </row>
    <row r="48" spans="1:2" ht="12.75">
      <c r="A48" s="17" t="s">
        <v>143</v>
      </c>
      <c r="B48">
        <f>B47*640</f>
        <v>7569.28</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5.xml><?xml version="1.0" encoding="utf-8"?>
<worksheet xmlns="http://schemas.openxmlformats.org/spreadsheetml/2006/main" xmlns:r="http://schemas.openxmlformats.org/officeDocument/2006/relationships">
  <dimension ref="A1:F48"/>
  <sheetViews>
    <sheetView zoomScalePageLayoutView="0" workbookViewId="0" topLeftCell="A34">
      <selection activeCell="G30" sqref="G30"/>
    </sheetView>
  </sheetViews>
  <sheetFormatPr defaultColWidth="9.140625" defaultRowHeight="12.75"/>
  <cols>
    <col min="1" max="1" width="37.421875" style="0" bestFit="1" customWidth="1"/>
    <col min="2" max="5" width="20.8515625" style="0" customWidth="1"/>
  </cols>
  <sheetData>
    <row r="1" spans="1:5" ht="13.5" thickBot="1">
      <c r="A1" s="10" t="s">
        <v>0</v>
      </c>
      <c r="B1" s="11" t="s">
        <v>7</v>
      </c>
      <c r="C1" s="11" t="s">
        <v>70</v>
      </c>
      <c r="D1" s="11" t="s">
        <v>71</v>
      </c>
      <c r="E1" s="18" t="s">
        <v>132</v>
      </c>
    </row>
    <row r="2" spans="1:5" ht="13.5" thickBot="1">
      <c r="A2" s="59" t="s">
        <v>72</v>
      </c>
      <c r="B2" s="12" t="s">
        <v>73</v>
      </c>
      <c r="C2" s="13">
        <v>2582</v>
      </c>
      <c r="D2" s="14" t="s">
        <v>133</v>
      </c>
      <c r="E2">
        <f aca="true" t="shared" si="0" ref="E2:E9">C2</f>
        <v>2582</v>
      </c>
    </row>
    <row r="3" spans="1:5" ht="13.5" thickBot="1">
      <c r="A3" s="60"/>
      <c r="B3" s="12" t="s">
        <v>74</v>
      </c>
      <c r="C3" s="13">
        <v>2596</v>
      </c>
      <c r="D3" s="14" t="s">
        <v>133</v>
      </c>
      <c r="E3">
        <f t="shared" si="0"/>
        <v>2596</v>
      </c>
    </row>
    <row r="4" spans="1:5" ht="39" customHeight="1" thickBot="1">
      <c r="A4" s="60"/>
      <c r="B4" s="12" t="s">
        <v>75</v>
      </c>
      <c r="C4" s="13">
        <v>2101532</v>
      </c>
      <c r="D4" s="14" t="s">
        <v>133</v>
      </c>
      <c r="E4">
        <f t="shared" si="0"/>
        <v>2101532</v>
      </c>
    </row>
    <row r="5" spans="1:5" ht="26.25" thickBot="1">
      <c r="A5" s="60"/>
      <c r="B5" s="12" t="s">
        <v>8</v>
      </c>
      <c r="C5" s="13">
        <v>3848</v>
      </c>
      <c r="D5" s="14" t="s">
        <v>133</v>
      </c>
      <c r="E5">
        <f t="shared" si="0"/>
        <v>3848</v>
      </c>
    </row>
    <row r="6" spans="1:5" ht="26.25" thickBot="1">
      <c r="A6" s="60"/>
      <c r="B6" s="12" t="s">
        <v>9</v>
      </c>
      <c r="C6" s="13">
        <v>199.5</v>
      </c>
      <c r="D6" s="14" t="s">
        <v>133</v>
      </c>
      <c r="E6">
        <f>C6</f>
        <v>199.5</v>
      </c>
    </row>
    <row r="7" spans="1:5" ht="13.5" thickBot="1">
      <c r="A7" s="60"/>
      <c r="B7" s="12" t="s">
        <v>76</v>
      </c>
      <c r="C7" s="13">
        <f>C6+C5</f>
        <v>4047.5</v>
      </c>
      <c r="D7" s="14" t="s">
        <v>133</v>
      </c>
      <c r="E7">
        <f t="shared" si="0"/>
        <v>4047.5</v>
      </c>
    </row>
    <row r="8" spans="1:5" ht="26.25" thickBot="1">
      <c r="A8" s="61"/>
      <c r="B8" s="15" t="s">
        <v>77</v>
      </c>
      <c r="C8" s="26">
        <v>7.56</v>
      </c>
      <c r="D8" s="13" t="s">
        <v>131</v>
      </c>
      <c r="E8">
        <f t="shared" si="0"/>
        <v>7.56</v>
      </c>
    </row>
    <row r="9" spans="1:5" ht="13.5" thickBot="1">
      <c r="A9" s="16"/>
      <c r="B9" s="15" t="s">
        <v>78</v>
      </c>
      <c r="C9" s="13">
        <v>567</v>
      </c>
      <c r="D9" s="14" t="s">
        <v>133</v>
      </c>
      <c r="E9">
        <f t="shared" si="0"/>
        <v>567</v>
      </c>
    </row>
    <row r="10" spans="1:5" ht="39" thickBot="1">
      <c r="A10" s="59" t="s">
        <v>16</v>
      </c>
      <c r="B10" s="12" t="s">
        <v>17</v>
      </c>
      <c r="C10" s="14" t="s">
        <v>79</v>
      </c>
      <c r="D10" s="14" t="s">
        <v>80</v>
      </c>
      <c r="E10">
        <f>B46*C2</f>
        <v>6635.74</v>
      </c>
    </row>
    <row r="11" spans="1:5" ht="51.75" thickBot="1">
      <c r="A11" s="60"/>
      <c r="B11" s="12" t="s">
        <v>18</v>
      </c>
      <c r="C11" s="15" t="s">
        <v>81</v>
      </c>
      <c r="D11" s="14" t="s">
        <v>82</v>
      </c>
      <c r="E11">
        <f>E10*0.189</f>
        <v>1254.1548599999999</v>
      </c>
    </row>
    <row r="12" spans="1:5" ht="77.25" thickBot="1">
      <c r="A12" s="60"/>
      <c r="B12" s="12" t="s">
        <v>83</v>
      </c>
      <c r="C12" s="15" t="s">
        <v>84</v>
      </c>
      <c r="D12" s="14" t="s">
        <v>85</v>
      </c>
      <c r="E12">
        <f>E10*0.4089</f>
        <v>2713.354086</v>
      </c>
    </row>
    <row r="13" spans="1:5" ht="90" thickBot="1">
      <c r="A13" s="60"/>
      <c r="B13" s="12" t="s">
        <v>22</v>
      </c>
      <c r="C13" s="15" t="s">
        <v>86</v>
      </c>
      <c r="D13" s="14" t="s">
        <v>87</v>
      </c>
      <c r="E13">
        <f>C4/823</f>
        <v>2553.501822600243</v>
      </c>
    </row>
    <row r="14" spans="1:5" ht="26.25" thickBot="1">
      <c r="A14" s="61"/>
      <c r="B14" s="12" t="s">
        <v>24</v>
      </c>
      <c r="C14" s="15" t="s">
        <v>88</v>
      </c>
      <c r="D14" s="14"/>
      <c r="E14">
        <f>E13/E2</f>
        <v>0.9889627508134171</v>
      </c>
    </row>
    <row r="15" spans="1:5" ht="39" thickBot="1">
      <c r="A15" s="59" t="s">
        <v>58</v>
      </c>
      <c r="B15" s="15" t="s">
        <v>59</v>
      </c>
      <c r="C15" s="15" t="s">
        <v>89</v>
      </c>
      <c r="D15" s="14" t="s">
        <v>90</v>
      </c>
      <c r="E15">
        <f>E2*1.84</f>
        <v>4750.88</v>
      </c>
    </row>
    <row r="16" spans="1:5" ht="102.75" thickBot="1">
      <c r="A16" s="60"/>
      <c r="B16" s="15" t="s">
        <v>91</v>
      </c>
      <c r="C16" s="15" t="s">
        <v>92</v>
      </c>
      <c r="D16" s="14" t="s">
        <v>93</v>
      </c>
      <c r="E16">
        <f>E2*5.95</f>
        <v>15362.9</v>
      </c>
    </row>
    <row r="17" spans="1:5" ht="77.25" thickBot="1">
      <c r="A17" s="60"/>
      <c r="B17" s="15" t="s">
        <v>94</v>
      </c>
      <c r="C17" s="15" t="s">
        <v>95</v>
      </c>
      <c r="D17" s="62" t="s">
        <v>96</v>
      </c>
      <c r="E17">
        <f>(E16*9.78)/(24*476.76)</f>
        <v>13.131096883127778</v>
      </c>
    </row>
    <row r="18" spans="1:5" ht="77.25" thickBot="1">
      <c r="A18" s="60"/>
      <c r="B18" s="15" t="s">
        <v>97</v>
      </c>
      <c r="C18" s="15" t="s">
        <v>98</v>
      </c>
      <c r="D18" s="63"/>
      <c r="E18">
        <f>($E$16*9.78)/(24*19.7)</f>
        <v>317.78587563451777</v>
      </c>
    </row>
    <row r="19" spans="1:5" ht="77.25" thickBot="1">
      <c r="A19" s="60"/>
      <c r="B19" s="15" t="s">
        <v>99</v>
      </c>
      <c r="C19" s="15" t="s">
        <v>100</v>
      </c>
      <c r="D19" s="63"/>
      <c r="E19">
        <f>($E$16*9.78)/(24*60.22)</f>
        <v>103.95851461308534</v>
      </c>
    </row>
    <row r="20" spans="1:5" ht="77.25" thickBot="1">
      <c r="A20" s="61"/>
      <c r="B20" s="15" t="s">
        <v>101</v>
      </c>
      <c r="C20" s="15" t="s">
        <v>102</v>
      </c>
      <c r="D20" s="64"/>
      <c r="E20">
        <f>($E$16*9.78)/(24*29.89)</f>
        <v>209.44736533957843</v>
      </c>
    </row>
    <row r="21" spans="1:5" ht="90" thickBot="1">
      <c r="A21" s="59" t="s">
        <v>103</v>
      </c>
      <c r="B21" s="15" t="s">
        <v>56</v>
      </c>
      <c r="C21" s="15" t="s">
        <v>104</v>
      </c>
      <c r="D21" s="14" t="s">
        <v>105</v>
      </c>
      <c r="E21">
        <f>E2*391</f>
        <v>1009562</v>
      </c>
    </row>
    <row r="22" spans="1:5" ht="90" thickBot="1">
      <c r="A22" s="60"/>
      <c r="B22" s="15" t="s">
        <v>54</v>
      </c>
      <c r="C22" s="15" t="s">
        <v>106</v>
      </c>
      <c r="D22" s="14" t="s">
        <v>107</v>
      </c>
      <c r="E22">
        <f>E2*101</f>
        <v>260782</v>
      </c>
    </row>
    <row r="23" spans="1:5" ht="115.5" thickBot="1">
      <c r="A23" s="60"/>
      <c r="B23" s="15" t="s">
        <v>55</v>
      </c>
      <c r="C23" s="15" t="s">
        <v>108</v>
      </c>
      <c r="D23" s="14" t="s">
        <v>109</v>
      </c>
      <c r="E23">
        <f>E4*85.1</f>
        <v>178840373.2</v>
      </c>
    </row>
    <row r="24" spans="1:5" ht="26.25" thickBot="1">
      <c r="A24" s="61"/>
      <c r="B24" s="15" t="s">
        <v>110</v>
      </c>
      <c r="C24" s="15" t="s">
        <v>111</v>
      </c>
      <c r="D24" s="14"/>
      <c r="E24">
        <f>E22+E23</f>
        <v>179101155.2</v>
      </c>
    </row>
    <row r="25" spans="1:5" ht="26.25" thickBot="1">
      <c r="A25" s="59" t="s">
        <v>35</v>
      </c>
      <c r="B25" s="15" t="s">
        <v>112</v>
      </c>
      <c r="C25" s="15" t="s">
        <v>113</v>
      </c>
      <c r="D25" s="14"/>
      <c r="E25">
        <f>E7/E10</f>
        <v>0.6099545792933418</v>
      </c>
    </row>
    <row r="26" spans="1:5" ht="26.25" thickBot="1">
      <c r="A26" s="60"/>
      <c r="B26" s="15" t="s">
        <v>30</v>
      </c>
      <c r="C26" s="15" t="s">
        <v>114</v>
      </c>
      <c r="D26" s="14"/>
      <c r="E26">
        <f>E10/B47</f>
        <v>561.0670499704066</v>
      </c>
    </row>
    <row r="27" spans="1:5" ht="39" thickBot="1">
      <c r="A27" s="60"/>
      <c r="B27" s="15" t="s">
        <v>32</v>
      </c>
      <c r="C27" s="15" t="s">
        <v>115</v>
      </c>
      <c r="D27" s="14"/>
      <c r="E27">
        <f>E2/E5</f>
        <v>0.670997920997921</v>
      </c>
    </row>
    <row r="28" spans="1:5" ht="39" thickBot="1">
      <c r="A28" s="60"/>
      <c r="B28" s="15" t="s">
        <v>116</v>
      </c>
      <c r="C28" s="15" t="s">
        <v>117</v>
      </c>
      <c r="D28" s="14"/>
      <c r="E28">
        <f>E13/E6</f>
        <v>12.799507882707985</v>
      </c>
    </row>
    <row r="29" spans="1:6" ht="75.75" thickBot="1">
      <c r="A29" s="60"/>
      <c r="B29" s="19" t="s">
        <v>42</v>
      </c>
      <c r="C29" s="20" t="s">
        <v>136</v>
      </c>
      <c r="D29" s="19" t="s">
        <v>142</v>
      </c>
      <c r="E29" s="40">
        <f>F29/C2</f>
        <v>0.07784663051897754</v>
      </c>
      <c r="F29">
        <v>201</v>
      </c>
    </row>
    <row r="30" spans="1:5" ht="60.75" thickBot="1">
      <c r="A30" s="60"/>
      <c r="B30" s="19" t="s">
        <v>40</v>
      </c>
      <c r="C30" s="19" t="s">
        <v>137</v>
      </c>
      <c r="D30" s="19" t="s">
        <v>142</v>
      </c>
      <c r="E30" s="21">
        <v>7759</v>
      </c>
    </row>
    <row r="31" spans="1:5" ht="60.75" thickBot="1">
      <c r="A31" s="60"/>
      <c r="B31" s="19" t="s">
        <v>41</v>
      </c>
      <c r="C31" s="20" t="s">
        <v>138</v>
      </c>
      <c r="D31" s="19" t="s">
        <v>142</v>
      </c>
      <c r="E31" s="21">
        <v>4261</v>
      </c>
    </row>
    <row r="32" spans="1:5" ht="60.75" thickBot="1">
      <c r="A32" s="60"/>
      <c r="B32" s="19" t="s">
        <v>43</v>
      </c>
      <c r="C32" s="20" t="s">
        <v>139</v>
      </c>
      <c r="D32" s="19" t="s">
        <v>142</v>
      </c>
      <c r="E32" s="21">
        <v>26820</v>
      </c>
    </row>
    <row r="33" spans="1:5" ht="60.75" thickBot="1">
      <c r="A33" s="60"/>
      <c r="B33" s="19" t="s">
        <v>44</v>
      </c>
      <c r="C33" s="19" t="s">
        <v>140</v>
      </c>
      <c r="D33" s="19" t="s">
        <v>142</v>
      </c>
      <c r="E33" s="21">
        <v>24694</v>
      </c>
    </row>
    <row r="34" spans="1:5" ht="60.75" thickBot="1">
      <c r="A34" s="60"/>
      <c r="B34" s="19" t="s">
        <v>38</v>
      </c>
      <c r="C34" s="19" t="s">
        <v>141</v>
      </c>
      <c r="D34" s="19" t="s">
        <v>142</v>
      </c>
      <c r="E34" s="21">
        <v>5255</v>
      </c>
    </row>
    <row r="35" spans="1:5" ht="26.25" thickBot="1">
      <c r="A35" s="61"/>
      <c r="B35" s="15" t="s">
        <v>118</v>
      </c>
      <c r="C35" s="15" t="s">
        <v>119</v>
      </c>
      <c r="D35" s="14"/>
      <c r="E35">
        <f>E8/E10</f>
        <v>0.0011392851437820046</v>
      </c>
    </row>
    <row r="36" spans="1:5" ht="51.75" thickBot="1">
      <c r="A36" s="59" t="s">
        <v>120</v>
      </c>
      <c r="B36" s="12" t="s">
        <v>26</v>
      </c>
      <c r="C36" s="13" t="s">
        <v>121</v>
      </c>
      <c r="D36" s="14"/>
      <c r="E36" s="22">
        <f>E9/B48</f>
        <v>0.07490804937854063</v>
      </c>
    </row>
    <row r="37" spans="1:5" ht="15.75" thickBot="1">
      <c r="A37" s="60"/>
      <c r="B37" s="23" t="s">
        <v>122</v>
      </c>
      <c r="C37" s="24"/>
      <c r="D37" s="24" t="s">
        <v>123</v>
      </c>
      <c r="E37" s="25"/>
    </row>
    <row r="38" spans="1:5" ht="15.75" thickBot="1">
      <c r="A38" s="61"/>
      <c r="B38" s="23" t="s">
        <v>124</v>
      </c>
      <c r="C38" s="24"/>
      <c r="D38" s="24" t="s">
        <v>123</v>
      </c>
      <c r="E38" s="25"/>
    </row>
    <row r="39" spans="1:5" ht="51.75" thickBot="1">
      <c r="A39" s="59" t="s">
        <v>45</v>
      </c>
      <c r="B39" s="12" t="s">
        <v>49</v>
      </c>
      <c r="C39" s="15" t="s">
        <v>125</v>
      </c>
      <c r="D39" s="14" t="s">
        <v>123</v>
      </c>
      <c r="E39">
        <f>E10*0.39</f>
        <v>2587.9386</v>
      </c>
    </row>
    <row r="40" spans="1:4" ht="13.5" thickBot="1">
      <c r="A40" s="60"/>
      <c r="B40" s="12" t="s">
        <v>126</v>
      </c>
      <c r="C40" s="15"/>
      <c r="D40" s="14"/>
    </row>
    <row r="41" spans="1:5" ht="39" thickBot="1">
      <c r="A41" s="60"/>
      <c r="B41" s="12" t="s">
        <v>127</v>
      </c>
      <c r="C41" s="15" t="s">
        <v>128</v>
      </c>
      <c r="D41" s="14" t="s">
        <v>123</v>
      </c>
      <c r="E41">
        <f>E10*0.08</f>
        <v>530.8592</v>
      </c>
    </row>
    <row r="42" spans="1:5" ht="39" thickBot="1">
      <c r="A42" s="61"/>
      <c r="B42" s="12" t="s">
        <v>129</v>
      </c>
      <c r="C42" s="15" t="s">
        <v>130</v>
      </c>
      <c r="D42" s="14" t="s">
        <v>123</v>
      </c>
      <c r="E42">
        <f>E10*1.28</f>
        <v>8493.7472</v>
      </c>
    </row>
    <row r="46" spans="1:2" ht="12.75">
      <c r="A46" s="17" t="s">
        <v>134</v>
      </c>
      <c r="B46">
        <v>2.57</v>
      </c>
    </row>
    <row r="47" spans="1:2" ht="12.75">
      <c r="A47" s="17" t="s">
        <v>135</v>
      </c>
      <c r="B47">
        <v>11.827</v>
      </c>
    </row>
    <row r="48" spans="1:2" ht="12.75">
      <c r="A48" s="17" t="s">
        <v>143</v>
      </c>
      <c r="B48">
        <f>B47*640</f>
        <v>7569.28</v>
      </c>
    </row>
  </sheetData>
  <sheetProtection/>
  <mergeCells count="8">
    <mergeCell ref="A36:A38"/>
    <mergeCell ref="A39:A42"/>
    <mergeCell ref="A2:A8"/>
    <mergeCell ref="A10:A14"/>
    <mergeCell ref="A15:A20"/>
    <mergeCell ref="D17:D20"/>
    <mergeCell ref="A21:A24"/>
    <mergeCell ref="A25:A35"/>
  </mergeCells>
  <printOptions/>
  <pageMargins left="0.7" right="0.7" top="0.75" bottom="0.75" header="0.3" footer="0.3"/>
  <pageSetup horizontalDpi="600" verticalDpi="600" orientation="portrait" r:id="rId1"/>
  <headerFooter>
    <oddFooter>&amp;C2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1"/>
  <sheetViews>
    <sheetView tabSelected="1" zoomScale="75" zoomScaleNormal="75" zoomScalePageLayoutView="0" workbookViewId="0" topLeftCell="A1">
      <selection activeCell="J21" sqref="J21"/>
    </sheetView>
  </sheetViews>
  <sheetFormatPr defaultColWidth="9.140625" defaultRowHeight="12.75"/>
  <cols>
    <col min="2" max="2" width="16.140625" style="42" customWidth="1"/>
    <col min="3" max="3" width="7.7109375" style="0" customWidth="1"/>
    <col min="4" max="4" width="7.57421875" style="0" customWidth="1"/>
  </cols>
  <sheetData>
    <row r="1" spans="1:9" ht="18.75">
      <c r="A1" s="43" t="s">
        <v>145</v>
      </c>
      <c r="B1" s="44"/>
      <c r="C1" s="45"/>
      <c r="D1" s="45"/>
      <c r="E1" s="45"/>
      <c r="F1" s="45"/>
      <c r="G1" s="45"/>
      <c r="H1" s="45"/>
      <c r="I1" s="45"/>
    </row>
    <row r="2" spans="1:9" ht="13.5">
      <c r="A2" s="45"/>
      <c r="B2" s="44"/>
      <c r="C2" s="65" t="s">
        <v>149</v>
      </c>
      <c r="D2" s="65"/>
      <c r="E2" s="45"/>
      <c r="F2" s="45"/>
      <c r="G2" s="45"/>
      <c r="H2" s="45"/>
      <c r="I2" s="45"/>
    </row>
    <row r="3" spans="1:9" ht="27">
      <c r="A3" s="46" t="s">
        <v>146</v>
      </c>
      <c r="B3" s="47" t="s">
        <v>154</v>
      </c>
      <c r="C3" s="46" t="s">
        <v>147</v>
      </c>
      <c r="D3" s="46" t="s">
        <v>148</v>
      </c>
      <c r="E3" s="45"/>
      <c r="F3" s="45"/>
      <c r="G3" s="45"/>
      <c r="H3" s="45"/>
      <c r="I3" s="45"/>
    </row>
    <row r="4" spans="1:9" ht="13.5">
      <c r="A4" s="48" t="s">
        <v>169</v>
      </c>
      <c r="B4" s="49">
        <v>2</v>
      </c>
      <c r="C4" s="48">
        <v>15</v>
      </c>
      <c r="D4" s="48">
        <v>30</v>
      </c>
      <c r="E4" s="45"/>
      <c r="F4" s="45"/>
      <c r="G4" s="45"/>
      <c r="H4" s="45"/>
      <c r="I4" s="45"/>
    </row>
    <row r="5" spans="1:9" ht="13.5">
      <c r="A5" s="48" t="s">
        <v>170</v>
      </c>
      <c r="B5" s="49">
        <v>2</v>
      </c>
      <c r="C5" s="48">
        <v>15</v>
      </c>
      <c r="D5" s="48">
        <v>50</v>
      </c>
      <c r="E5" s="45"/>
      <c r="F5" s="45"/>
      <c r="G5" s="45"/>
      <c r="H5" s="45"/>
      <c r="I5" s="45"/>
    </row>
    <row r="6" spans="1:9" ht="13.5">
      <c r="A6" s="48" t="s">
        <v>171</v>
      </c>
      <c r="B6" s="49">
        <v>2</v>
      </c>
      <c r="C6" s="48">
        <v>50</v>
      </c>
      <c r="D6" s="48">
        <v>30</v>
      </c>
      <c r="E6" s="45"/>
      <c r="F6" s="45"/>
      <c r="G6" s="45"/>
      <c r="H6" s="45"/>
      <c r="I6" s="45"/>
    </row>
    <row r="7" spans="1:9" ht="13.5">
      <c r="A7" s="48" t="s">
        <v>172</v>
      </c>
      <c r="B7" s="49">
        <v>2</v>
      </c>
      <c r="C7" s="48">
        <v>50</v>
      </c>
      <c r="D7" s="48">
        <v>30</v>
      </c>
      <c r="E7" s="45"/>
      <c r="F7" s="45"/>
      <c r="G7" s="45"/>
      <c r="H7" s="45"/>
      <c r="I7" s="45"/>
    </row>
    <row r="8" spans="1:9" ht="13.5">
      <c r="A8" s="48" t="s">
        <v>173</v>
      </c>
      <c r="B8" s="49">
        <v>2</v>
      </c>
      <c r="C8" s="48">
        <v>50</v>
      </c>
      <c r="D8" s="48">
        <v>30</v>
      </c>
      <c r="E8" s="45"/>
      <c r="F8" s="45"/>
      <c r="G8" s="45"/>
      <c r="H8" s="45"/>
      <c r="I8" s="45"/>
    </row>
    <row r="9" spans="1:9" ht="13.5">
      <c r="A9" s="45" t="s">
        <v>150</v>
      </c>
      <c r="B9" s="44"/>
      <c r="C9" s="45"/>
      <c r="D9" s="45"/>
      <c r="E9" s="45"/>
      <c r="F9" s="45"/>
      <c r="G9" s="45"/>
      <c r="H9" s="45"/>
      <c r="I9" s="45"/>
    </row>
    <row r="10" spans="1:9" ht="13.5">
      <c r="A10" s="45" t="s">
        <v>151</v>
      </c>
      <c r="B10" s="44"/>
      <c r="C10" s="45"/>
      <c r="D10" s="45"/>
      <c r="E10" s="45"/>
      <c r="F10" s="45"/>
      <c r="G10" s="45"/>
      <c r="H10" s="45"/>
      <c r="I10" s="45"/>
    </row>
    <row r="11" spans="1:9" ht="13.5">
      <c r="A11" s="45" t="s">
        <v>152</v>
      </c>
      <c r="B11" s="44"/>
      <c r="C11" s="45"/>
      <c r="D11" s="45"/>
      <c r="E11" s="45"/>
      <c r="F11" s="45"/>
      <c r="G11" s="45"/>
      <c r="H11" s="45"/>
      <c r="I11" s="45"/>
    </row>
    <row r="12" spans="1:9" ht="13.5">
      <c r="A12" s="45"/>
      <c r="B12" s="44"/>
      <c r="C12" s="45"/>
      <c r="D12" s="45"/>
      <c r="E12" s="45"/>
      <c r="F12" s="45"/>
      <c r="G12" s="45"/>
      <c r="H12" s="45"/>
      <c r="I12" s="45"/>
    </row>
    <row r="13" spans="1:9" ht="18.75">
      <c r="A13" s="43" t="s">
        <v>153</v>
      </c>
      <c r="B13" s="44"/>
      <c r="C13" s="45"/>
      <c r="D13" s="45"/>
      <c r="E13" s="45"/>
      <c r="F13" s="45"/>
      <c r="G13" s="45"/>
      <c r="H13" s="45"/>
      <c r="I13" s="45"/>
    </row>
    <row r="14" spans="1:7" ht="45.75" customHeight="1">
      <c r="A14" s="45"/>
      <c r="B14" s="66" t="s">
        <v>156</v>
      </c>
      <c r="C14" s="66"/>
      <c r="D14" s="66"/>
      <c r="E14" s="66"/>
      <c r="F14" s="65" t="s">
        <v>149</v>
      </c>
      <c r="G14" s="65"/>
    </row>
    <row r="15" spans="1:13" ht="27">
      <c r="A15" s="46" t="s">
        <v>146</v>
      </c>
      <c r="B15" s="47" t="s">
        <v>155</v>
      </c>
      <c r="C15" s="50" t="s">
        <v>157</v>
      </c>
      <c r="D15" s="50" t="s">
        <v>158</v>
      </c>
      <c r="E15" s="50" t="s">
        <v>159</v>
      </c>
      <c r="F15" s="46" t="s">
        <v>147</v>
      </c>
      <c r="G15" s="46" t="s">
        <v>148</v>
      </c>
      <c r="M15" s="17"/>
    </row>
    <row r="16" spans="1:10" ht="13.5">
      <c r="A16" s="48" t="s">
        <v>169</v>
      </c>
      <c r="B16" s="47">
        <v>0.659</v>
      </c>
      <c r="C16" s="47">
        <v>1.05</v>
      </c>
      <c r="D16" s="47">
        <v>1.64</v>
      </c>
      <c r="E16" s="47">
        <v>3.2</v>
      </c>
      <c r="F16" s="48">
        <v>15</v>
      </c>
      <c r="G16" s="48">
        <v>30</v>
      </c>
      <c r="J16" s="17"/>
    </row>
    <row r="17" spans="1:7" ht="13.5">
      <c r="A17" s="48" t="s">
        <v>170</v>
      </c>
      <c r="B17" s="47" t="s">
        <v>144</v>
      </c>
      <c r="C17" s="47" t="s">
        <v>144</v>
      </c>
      <c r="D17" s="47">
        <v>3.14</v>
      </c>
      <c r="E17" s="47">
        <v>3.2</v>
      </c>
      <c r="F17" s="48">
        <v>15</v>
      </c>
      <c r="G17" s="48">
        <v>50</v>
      </c>
    </row>
    <row r="18" spans="1:7" ht="13.5">
      <c r="A18" s="48" t="s">
        <v>171</v>
      </c>
      <c r="B18" s="47" t="s">
        <v>144</v>
      </c>
      <c r="C18" s="47" t="s">
        <v>144</v>
      </c>
      <c r="D18" s="47">
        <v>1.58</v>
      </c>
      <c r="E18" s="47">
        <v>3.2</v>
      </c>
      <c r="F18" s="48">
        <v>50</v>
      </c>
      <c r="G18" s="48">
        <v>30</v>
      </c>
    </row>
    <row r="19" spans="1:7" ht="13.5">
      <c r="A19" s="48" t="s">
        <v>172</v>
      </c>
      <c r="B19" s="47" t="s">
        <v>144</v>
      </c>
      <c r="C19" s="47" t="s">
        <v>144</v>
      </c>
      <c r="D19" s="47">
        <v>1.61</v>
      </c>
      <c r="E19" s="47">
        <v>3.2</v>
      </c>
      <c r="F19" s="48">
        <v>50</v>
      </c>
      <c r="G19" s="48">
        <v>30</v>
      </c>
    </row>
    <row r="20" spans="1:7" ht="13.5">
      <c r="A20" s="48" t="s">
        <v>173</v>
      </c>
      <c r="B20" s="47">
        <v>0.7</v>
      </c>
      <c r="C20" s="47">
        <v>1.05</v>
      </c>
      <c r="D20" s="47">
        <v>1.58</v>
      </c>
      <c r="E20" s="47">
        <v>3.14</v>
      </c>
      <c r="F20" s="48">
        <v>50</v>
      </c>
      <c r="G20" s="48">
        <v>30</v>
      </c>
    </row>
    <row r="21" spans="1:9" ht="13.5">
      <c r="A21" s="52"/>
      <c r="B21" s="53"/>
      <c r="C21" s="53"/>
      <c r="D21" s="53"/>
      <c r="E21" s="53"/>
      <c r="F21" s="52"/>
      <c r="G21" s="52"/>
      <c r="H21" s="52"/>
      <c r="I21" s="52"/>
    </row>
    <row r="22" spans="1:9" ht="13.5">
      <c r="A22" s="45"/>
      <c r="B22" s="44"/>
      <c r="C22" s="45"/>
      <c r="D22" s="45"/>
      <c r="E22" s="45"/>
      <c r="F22" s="45"/>
      <c r="G22" s="45"/>
      <c r="H22" s="45"/>
      <c r="I22" s="45"/>
    </row>
    <row r="23" spans="1:9" ht="18.75">
      <c r="A23" s="43" t="s">
        <v>160</v>
      </c>
      <c r="B23" s="44"/>
      <c r="C23" s="45"/>
      <c r="D23" s="45"/>
      <c r="E23" s="45"/>
      <c r="F23" s="45"/>
      <c r="G23" s="45"/>
      <c r="H23" s="45"/>
      <c r="I23" s="45"/>
    </row>
    <row r="24" spans="1:9" ht="13.5">
      <c r="A24" s="45"/>
      <c r="B24" s="44"/>
      <c r="C24" s="65" t="s">
        <v>149</v>
      </c>
      <c r="D24" s="65"/>
      <c r="E24" s="45"/>
      <c r="F24" s="45"/>
      <c r="G24" s="45"/>
      <c r="H24" s="45"/>
      <c r="I24" s="45"/>
    </row>
    <row r="25" spans="1:9" ht="27">
      <c r="A25" s="46" t="s">
        <v>146</v>
      </c>
      <c r="B25" s="47" t="s">
        <v>154</v>
      </c>
      <c r="C25" s="46" t="s">
        <v>147</v>
      </c>
      <c r="D25" s="46" t="s">
        <v>148</v>
      </c>
      <c r="E25" s="45"/>
      <c r="F25" s="45"/>
      <c r="G25" s="45"/>
      <c r="H25" s="45"/>
      <c r="I25" s="45"/>
    </row>
    <row r="26" spans="1:9" ht="13.5">
      <c r="A26" s="48" t="s">
        <v>169</v>
      </c>
      <c r="B26" s="49">
        <v>2</v>
      </c>
      <c r="C26" s="48">
        <v>15</v>
      </c>
      <c r="D26" s="48">
        <v>30</v>
      </c>
      <c r="E26" s="45"/>
      <c r="F26" s="45"/>
      <c r="G26" s="45"/>
      <c r="H26" s="45"/>
      <c r="I26" s="45"/>
    </row>
    <row r="27" spans="1:9" ht="13.5">
      <c r="A27" s="48" t="s">
        <v>170</v>
      </c>
      <c r="B27" s="49">
        <v>2</v>
      </c>
      <c r="C27" s="48">
        <v>15</v>
      </c>
      <c r="D27" s="48">
        <v>50</v>
      </c>
      <c r="E27" s="45"/>
      <c r="F27" s="45"/>
      <c r="G27" s="45"/>
      <c r="H27" s="45"/>
      <c r="I27" s="45"/>
    </row>
    <row r="28" spans="1:9" ht="13.5">
      <c r="A28" s="48" t="s">
        <v>171</v>
      </c>
      <c r="B28" s="49">
        <v>2</v>
      </c>
      <c r="C28" s="48">
        <v>50</v>
      </c>
      <c r="D28" s="48">
        <v>30</v>
      </c>
      <c r="E28" s="45"/>
      <c r="F28" s="45"/>
      <c r="G28" s="45"/>
      <c r="H28" s="45"/>
      <c r="I28" s="45"/>
    </row>
    <row r="29" spans="1:9" ht="13.5">
      <c r="A29" s="48" t="s">
        <v>172</v>
      </c>
      <c r="B29" s="49">
        <v>2</v>
      </c>
      <c r="C29" s="48">
        <v>50</v>
      </c>
      <c r="D29" s="48">
        <v>30</v>
      </c>
      <c r="E29" s="45"/>
      <c r="F29" s="45"/>
      <c r="G29" s="45"/>
      <c r="H29" s="45"/>
      <c r="I29" s="45"/>
    </row>
    <row r="30" spans="1:9" ht="13.5">
      <c r="A30" s="48" t="s">
        <v>173</v>
      </c>
      <c r="B30" s="49">
        <v>2</v>
      </c>
      <c r="C30" s="48">
        <v>50</v>
      </c>
      <c r="D30" s="48">
        <v>30</v>
      </c>
      <c r="E30" s="45"/>
      <c r="F30" s="45"/>
      <c r="G30" s="45"/>
      <c r="H30" s="45"/>
      <c r="I30" s="45"/>
    </row>
    <row r="31" spans="1:9" ht="13.5">
      <c r="A31" s="48" t="s">
        <v>174</v>
      </c>
      <c r="B31" s="49">
        <v>3</v>
      </c>
      <c r="C31" s="48">
        <v>50</v>
      </c>
      <c r="D31" s="48">
        <v>30</v>
      </c>
      <c r="E31" s="45"/>
      <c r="F31" s="45"/>
      <c r="G31" s="45"/>
      <c r="H31" s="45"/>
      <c r="I31" s="45"/>
    </row>
    <row r="32" spans="1:9" ht="13.5">
      <c r="A32" s="45" t="s">
        <v>175</v>
      </c>
      <c r="B32" s="44"/>
      <c r="C32" s="45"/>
      <c r="D32" s="45"/>
      <c r="E32" s="45"/>
      <c r="F32" s="45"/>
      <c r="G32" s="45"/>
      <c r="H32" s="45"/>
      <c r="I32" s="45"/>
    </row>
    <row r="33" spans="1:9" ht="13.5">
      <c r="A33" s="45"/>
      <c r="B33" s="44"/>
      <c r="C33" s="45"/>
      <c r="D33" s="45"/>
      <c r="E33" s="45"/>
      <c r="F33" s="45"/>
      <c r="G33" s="45"/>
      <c r="H33" s="45"/>
      <c r="I33" s="45"/>
    </row>
    <row r="34" spans="1:9" ht="18.75">
      <c r="A34" s="43" t="s">
        <v>161</v>
      </c>
      <c r="B34" s="44"/>
      <c r="C34" s="45"/>
      <c r="D34" s="45"/>
      <c r="E34" s="45"/>
      <c r="F34" s="45"/>
      <c r="G34" s="45"/>
      <c r="H34" s="45"/>
      <c r="I34" s="45"/>
    </row>
    <row r="35" spans="1:9" ht="13.5">
      <c r="A35" s="45" t="s">
        <v>162</v>
      </c>
      <c r="B35" s="44"/>
      <c r="C35" s="45"/>
      <c r="D35" s="45"/>
      <c r="E35" s="45"/>
      <c r="F35" s="45"/>
      <c r="G35" s="45"/>
      <c r="H35" s="45"/>
      <c r="I35" s="45"/>
    </row>
    <row r="36" spans="1:9" ht="13.5">
      <c r="A36" s="51" t="s">
        <v>163</v>
      </c>
      <c r="B36" s="44"/>
      <c r="C36" s="45"/>
      <c r="D36" s="45"/>
      <c r="E36" s="45"/>
      <c r="F36" s="45"/>
      <c r="G36" s="45"/>
      <c r="H36" s="45"/>
      <c r="I36" s="45"/>
    </row>
    <row r="37" spans="1:9" ht="13.5">
      <c r="A37" s="51" t="s">
        <v>164</v>
      </c>
      <c r="B37" s="44"/>
      <c r="C37" s="45"/>
      <c r="D37" s="45"/>
      <c r="E37" s="45"/>
      <c r="F37" s="45"/>
      <c r="G37" s="45"/>
      <c r="H37" s="45"/>
      <c r="I37" s="45"/>
    </row>
    <row r="38" spans="1:9" ht="13.5">
      <c r="A38" s="51" t="s">
        <v>165</v>
      </c>
      <c r="B38" s="44"/>
      <c r="C38" s="45"/>
      <c r="D38" s="45"/>
      <c r="E38" s="45"/>
      <c r="F38" s="45"/>
      <c r="G38" s="45"/>
      <c r="H38" s="45"/>
      <c r="I38" s="45"/>
    </row>
    <row r="39" spans="1:9" ht="13.5">
      <c r="A39" s="51" t="s">
        <v>166</v>
      </c>
      <c r="B39" s="44"/>
      <c r="C39" s="45"/>
      <c r="D39" s="45"/>
      <c r="E39" s="45"/>
      <c r="F39" s="45"/>
      <c r="G39" s="45"/>
      <c r="H39" s="45"/>
      <c r="I39" s="45"/>
    </row>
    <row r="40" spans="1:9" ht="13.5">
      <c r="A40" s="51" t="s">
        <v>167</v>
      </c>
      <c r="B40" s="44"/>
      <c r="C40" s="45"/>
      <c r="D40" s="45"/>
      <c r="E40" s="45"/>
      <c r="F40" s="45"/>
      <c r="G40" s="45"/>
      <c r="H40" s="45"/>
      <c r="I40" s="45"/>
    </row>
    <row r="41" spans="1:9" ht="13.5">
      <c r="A41" s="45"/>
      <c r="B41" s="44"/>
      <c r="C41" s="45"/>
      <c r="D41" s="45"/>
      <c r="E41" s="45"/>
      <c r="F41" s="45"/>
      <c r="G41" s="45"/>
      <c r="H41" s="45"/>
      <c r="I41" s="45"/>
    </row>
  </sheetData>
  <sheetProtection/>
  <mergeCells count="4">
    <mergeCell ref="C2:D2"/>
    <mergeCell ref="B14:E14"/>
    <mergeCell ref="F14:G14"/>
    <mergeCell ref="C24:D24"/>
  </mergeCells>
  <printOptions/>
  <pageMargins left="0.7" right="0.7" top="0.75" bottom="0.75" header="0.3" footer="0.3"/>
  <pageSetup fitToHeight="1" fitToWidth="1" horizontalDpi="600" verticalDpi="600" orientation="portrait" scale="94" r:id="rId1"/>
  <headerFooter>
    <oddFooter>&amp;C2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Robert Pruyne</cp:lastModifiedBy>
  <cp:lastPrinted>2010-11-08T16:08:03Z</cp:lastPrinted>
  <dcterms:created xsi:type="dcterms:W3CDTF">2008-04-09T13:09:10Z</dcterms:created>
  <dcterms:modified xsi:type="dcterms:W3CDTF">2010-11-11T19:00:32Z</dcterms:modified>
  <cp:category/>
  <cp:version/>
  <cp:contentType/>
  <cp:contentStatus/>
</cp:coreProperties>
</file>