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230" yWindow="1425" windowWidth="14805" windowHeight="7950" tabRatio="910" activeTab="4"/>
  </bookViews>
  <sheets>
    <sheet name="NOTES" sheetId="1" r:id="rId1"/>
    <sheet name="INPUTS - 1_Highway Network" sheetId="2" r:id="rId2"/>
    <sheet name="intersection codes and caps" sheetId="11" r:id="rId3"/>
    <sheet name="INPUTS - 2_Transit Network" sheetId="3" r:id="rId4"/>
    <sheet name="INPUTS - 3_TAZ and TripGen" sheetId="4" r:id="rId5"/>
    <sheet name="INPUTS - 4_ExternalDistribution" sheetId="5" r:id="rId6"/>
    <sheet name="Special Gen" sheetId="8" r:id="rId7"/>
    <sheet name="INPUTS - 5_DiurnalDistribution" sheetId="6" r:id="rId8"/>
    <sheet name="INPUTS - 6_Assignment" sheetId="7" r:id="rId9"/>
  </sheets>
  <externalReferences>
    <externalReference r:id="rId10"/>
  </externalReferences>
  <definedNames>
    <definedName name="Frac">[1]_Overview!$E$11</definedName>
    <definedName name="OLE_LINK1" localSheetId="8">'INPUTS - 6_Assignment'!$G$23</definedName>
  </definedNames>
  <calcPr calcId="145621"/>
</workbook>
</file>

<file path=xl/calcChain.xml><?xml version="1.0" encoding="utf-8"?>
<calcChain xmlns="http://schemas.openxmlformats.org/spreadsheetml/2006/main">
  <c r="C16" i="11" l="1"/>
  <c r="C19" i="11"/>
  <c r="D19" i="11" s="1"/>
  <c r="F19" i="11" s="1"/>
  <c r="G23" i="11" s="1"/>
  <c r="G19" i="11"/>
  <c r="H19" i="11"/>
  <c r="I19" i="11"/>
  <c r="C20" i="11"/>
  <c r="D20" i="11" s="1"/>
  <c r="F20" i="11" s="1"/>
  <c r="I24" i="11" s="1"/>
  <c r="G20" i="11"/>
  <c r="H20" i="11"/>
  <c r="I20" i="11"/>
  <c r="C28" i="11"/>
  <c r="E45" i="11"/>
  <c r="M45" i="11"/>
  <c r="O45" i="11"/>
  <c r="P45" i="11"/>
  <c r="V45" i="11" s="1"/>
  <c r="AB45" i="11" s="1"/>
  <c r="AH45" i="11" s="1"/>
  <c r="Q45" i="11"/>
  <c r="R45" i="11"/>
  <c r="S45" i="11"/>
  <c r="T45" i="11"/>
  <c r="W45" i="11"/>
  <c r="AC45" i="11" s="1"/>
  <c r="AI45" i="11" s="1"/>
  <c r="E46" i="11"/>
  <c r="V46" i="11" s="1"/>
  <c r="AB46" i="11" s="1"/>
  <c r="AH46" i="11" s="1"/>
  <c r="M46" i="11"/>
  <c r="O46" i="11"/>
  <c r="P46" i="11"/>
  <c r="Q46" i="11"/>
  <c r="R46" i="11"/>
  <c r="S46" i="11"/>
  <c r="T46" i="11"/>
  <c r="U46" i="11"/>
  <c r="AA46" i="11" s="1"/>
  <c r="AG46" i="11" s="1"/>
  <c r="AN46" i="11" s="1"/>
  <c r="E47" i="11"/>
  <c r="M47" i="11"/>
  <c r="O47" i="11"/>
  <c r="P47" i="11"/>
  <c r="Q47" i="11"/>
  <c r="R47" i="11"/>
  <c r="S47" i="11"/>
  <c r="T47" i="11"/>
  <c r="V47" i="11"/>
  <c r="AB47" i="11" s="1"/>
  <c r="AH47" i="11" s="1"/>
  <c r="E48" i="11"/>
  <c r="M48" i="11"/>
  <c r="O48" i="11"/>
  <c r="U48" i="11" s="1"/>
  <c r="AA48" i="11" s="1"/>
  <c r="AG48" i="11" s="1"/>
  <c r="AN48" i="11" s="1"/>
  <c r="P48" i="11"/>
  <c r="Q48" i="11"/>
  <c r="R48" i="11"/>
  <c r="S48" i="11"/>
  <c r="T48" i="11"/>
  <c r="X48" i="11"/>
  <c r="AD48" i="11" s="1"/>
  <c r="AJ48" i="11" s="1"/>
  <c r="AP48" i="11" s="1"/>
  <c r="E49" i="11"/>
  <c r="M49" i="11"/>
  <c r="O49" i="11"/>
  <c r="P49" i="11"/>
  <c r="Q49" i="11"/>
  <c r="R49" i="11"/>
  <c r="S49" i="11"/>
  <c r="T49" i="11"/>
  <c r="V49" i="11"/>
  <c r="AB49" i="11" s="1"/>
  <c r="AH49" i="11" s="1"/>
  <c r="AM49" i="11" s="1"/>
  <c r="W49" i="11"/>
  <c r="AC49" i="11" s="1"/>
  <c r="AI49" i="11" s="1"/>
  <c r="E50" i="11"/>
  <c r="M50" i="11"/>
  <c r="X50" i="11" s="1"/>
  <c r="AD50" i="11" s="1"/>
  <c r="AJ50" i="11" s="1"/>
  <c r="AP50" i="11" s="1"/>
  <c r="O50" i="11"/>
  <c r="U50" i="11" s="1"/>
  <c r="AA50" i="11" s="1"/>
  <c r="AG50" i="11" s="1"/>
  <c r="AN50" i="11" s="1"/>
  <c r="P50" i="11"/>
  <c r="Q50" i="11"/>
  <c r="R50" i="11"/>
  <c r="S50" i="11"/>
  <c r="Y50" i="11" s="1"/>
  <c r="AE50" i="11" s="1"/>
  <c r="AK50" i="11" s="1"/>
  <c r="AO50" i="11" s="1"/>
  <c r="T50" i="11"/>
  <c r="E51" i="11"/>
  <c r="M51" i="11"/>
  <c r="O51" i="11"/>
  <c r="P51" i="11"/>
  <c r="Q51" i="11"/>
  <c r="R51" i="11"/>
  <c r="S51" i="11"/>
  <c r="T51" i="11"/>
  <c r="V51" i="11"/>
  <c r="AB51" i="11" s="1"/>
  <c r="AH51" i="11" s="1"/>
  <c r="W51" i="11"/>
  <c r="AC51" i="11" s="1"/>
  <c r="AI51" i="11" s="1"/>
  <c r="E52" i="11"/>
  <c r="M52" i="11"/>
  <c r="X52" i="11" s="1"/>
  <c r="AD52" i="11" s="1"/>
  <c r="AJ52" i="11" s="1"/>
  <c r="AP52" i="11" s="1"/>
  <c r="O52" i="11"/>
  <c r="U52" i="11" s="1"/>
  <c r="AA52" i="11" s="1"/>
  <c r="AG52" i="11" s="1"/>
  <c r="AN52" i="11" s="1"/>
  <c r="P52" i="11"/>
  <c r="Q52" i="11"/>
  <c r="R52" i="11"/>
  <c r="S52" i="11"/>
  <c r="Y52" i="11" s="1"/>
  <c r="AE52" i="11" s="1"/>
  <c r="AK52" i="11" s="1"/>
  <c r="T52" i="11"/>
  <c r="E53" i="11"/>
  <c r="M53" i="11"/>
  <c r="O53" i="11"/>
  <c r="U53" i="11" s="1"/>
  <c r="AA53" i="11" s="1"/>
  <c r="AG53" i="11" s="1"/>
  <c r="AN53" i="11" s="1"/>
  <c r="P53" i="11"/>
  <c r="V53" i="11" s="1"/>
  <c r="AB53" i="11" s="1"/>
  <c r="AH53" i="11" s="1"/>
  <c r="Q53" i="11"/>
  <c r="R53" i="11"/>
  <c r="S53" i="11"/>
  <c r="T53" i="11"/>
  <c r="W53" i="11"/>
  <c r="AC53" i="11" s="1"/>
  <c r="AI53" i="11" s="1"/>
  <c r="E54" i="11"/>
  <c r="Y54" i="11" s="1"/>
  <c r="AE54" i="11" s="1"/>
  <c r="AK54" i="11" s="1"/>
  <c r="M54" i="11"/>
  <c r="O54" i="11"/>
  <c r="P54" i="11"/>
  <c r="Q54" i="11"/>
  <c r="R54" i="11"/>
  <c r="S54" i="11"/>
  <c r="T54" i="11"/>
  <c r="X54" i="11"/>
  <c r="AD54" i="11" s="1"/>
  <c r="AJ54" i="11" s="1"/>
  <c r="AP54" i="11" s="1"/>
  <c r="E55" i="11"/>
  <c r="M55" i="11"/>
  <c r="O55" i="11"/>
  <c r="P55" i="11"/>
  <c r="Q55" i="11"/>
  <c r="R55" i="11"/>
  <c r="S55" i="11"/>
  <c r="T55" i="11"/>
  <c r="V55" i="11"/>
  <c r="AB55" i="11" s="1"/>
  <c r="AH55" i="11" s="1"/>
  <c r="AM55" i="11" s="1"/>
  <c r="W55" i="11"/>
  <c r="AC55" i="11" s="1"/>
  <c r="AI55" i="11" s="1"/>
  <c r="E56" i="11"/>
  <c r="M56" i="11"/>
  <c r="X56" i="11" s="1"/>
  <c r="AD56" i="11" s="1"/>
  <c r="AJ56" i="11" s="1"/>
  <c r="AP56" i="11" s="1"/>
  <c r="O56" i="11"/>
  <c r="U56" i="11" s="1"/>
  <c r="AA56" i="11" s="1"/>
  <c r="AG56" i="11" s="1"/>
  <c r="AN56" i="11" s="1"/>
  <c r="P56" i="11"/>
  <c r="Q56" i="11"/>
  <c r="R56" i="11"/>
  <c r="S56" i="11"/>
  <c r="Y56" i="11" s="1"/>
  <c r="AE56" i="11" s="1"/>
  <c r="AK56" i="11" s="1"/>
  <c r="T56" i="11"/>
  <c r="E57" i="11"/>
  <c r="M57" i="11"/>
  <c r="O57" i="11"/>
  <c r="U57" i="11" s="1"/>
  <c r="AA57" i="11" s="1"/>
  <c r="AG57" i="11" s="1"/>
  <c r="AN57" i="11" s="1"/>
  <c r="P57" i="11"/>
  <c r="V57" i="11" s="1"/>
  <c r="AB57" i="11" s="1"/>
  <c r="AH57" i="11" s="1"/>
  <c r="AM57" i="11" s="1"/>
  <c r="Q57" i="11"/>
  <c r="R57" i="11"/>
  <c r="S57" i="11"/>
  <c r="T57" i="11"/>
  <c r="W57" i="11"/>
  <c r="AC57" i="11" s="1"/>
  <c r="AI57" i="11" s="1"/>
  <c r="E58" i="11"/>
  <c r="Y58" i="11" s="1"/>
  <c r="AE58" i="11" s="1"/>
  <c r="AK58" i="11" s="1"/>
  <c r="M58" i="11"/>
  <c r="O58" i="11"/>
  <c r="P58" i="11"/>
  <c r="Q58" i="11"/>
  <c r="R58" i="11"/>
  <c r="S58" i="11"/>
  <c r="T58" i="11"/>
  <c r="X58" i="11"/>
  <c r="AD58" i="11" s="1"/>
  <c r="AJ58" i="11" s="1"/>
  <c r="AP58" i="11" s="1"/>
  <c r="E59" i="11"/>
  <c r="M59" i="11"/>
  <c r="O59" i="11"/>
  <c r="P59" i="11"/>
  <c r="Q59" i="11"/>
  <c r="R59" i="11"/>
  <c r="S59" i="11"/>
  <c r="T59" i="11"/>
  <c r="W59" i="11"/>
  <c r="AC59" i="11" s="1"/>
  <c r="AI59" i="11" s="1"/>
  <c r="E60" i="11"/>
  <c r="Y60" i="11" s="1"/>
  <c r="AE60" i="11" s="1"/>
  <c r="AK60" i="11" s="1"/>
  <c r="M60" i="11"/>
  <c r="O60" i="11"/>
  <c r="P60" i="11"/>
  <c r="Q60" i="11"/>
  <c r="R60" i="11"/>
  <c r="S60" i="11"/>
  <c r="T60" i="11"/>
  <c r="U60" i="11"/>
  <c r="AA60" i="11" s="1"/>
  <c r="AG60" i="11" s="1"/>
  <c r="AN60" i="11" s="1"/>
  <c r="E61" i="11"/>
  <c r="M61" i="11"/>
  <c r="O61" i="11"/>
  <c r="P61" i="11"/>
  <c r="V61" i="11" s="1"/>
  <c r="AB61" i="11" s="1"/>
  <c r="AH61" i="11" s="1"/>
  <c r="Q61" i="11"/>
  <c r="R61" i="11"/>
  <c r="S61" i="11"/>
  <c r="T61" i="11"/>
  <c r="E62" i="11"/>
  <c r="V62" i="11" s="1"/>
  <c r="AB62" i="11" s="1"/>
  <c r="AH62" i="11" s="1"/>
  <c r="M62" i="11"/>
  <c r="O62" i="11"/>
  <c r="U62" i="11" s="1"/>
  <c r="AA62" i="11" s="1"/>
  <c r="AG62" i="11" s="1"/>
  <c r="AN62" i="11" s="1"/>
  <c r="P62" i="11"/>
  <c r="Q62" i="11"/>
  <c r="R62" i="11"/>
  <c r="S62" i="11"/>
  <c r="T62" i="11"/>
  <c r="X62" i="11"/>
  <c r="AD62" i="11" s="1"/>
  <c r="AJ62" i="11" s="1"/>
  <c r="AP62" i="11" s="1"/>
  <c r="E63" i="11"/>
  <c r="M63" i="11"/>
  <c r="O63" i="11"/>
  <c r="P63" i="11"/>
  <c r="V63" i="11" s="1"/>
  <c r="AB63" i="11" s="1"/>
  <c r="AH63" i="11" s="1"/>
  <c r="Q63" i="11"/>
  <c r="R63" i="11"/>
  <c r="S63" i="11"/>
  <c r="T63" i="11"/>
  <c r="E64" i="11"/>
  <c r="V64" i="11" s="1"/>
  <c r="AB64" i="11" s="1"/>
  <c r="AH64" i="11" s="1"/>
  <c r="M64" i="11"/>
  <c r="O64" i="11"/>
  <c r="U64" i="11" s="1"/>
  <c r="AA64" i="11" s="1"/>
  <c r="AG64" i="11" s="1"/>
  <c r="AN64" i="11" s="1"/>
  <c r="P64" i="11"/>
  <c r="Q64" i="11"/>
  <c r="R64" i="11"/>
  <c r="S64" i="11"/>
  <c r="T64" i="11"/>
  <c r="X64" i="11"/>
  <c r="AD64" i="11" s="1"/>
  <c r="AJ64" i="11" s="1"/>
  <c r="AP64" i="11" s="1"/>
  <c r="E65" i="11"/>
  <c r="M65" i="11"/>
  <c r="O65" i="11"/>
  <c r="P65" i="11"/>
  <c r="V65" i="11" s="1"/>
  <c r="AB65" i="11" s="1"/>
  <c r="AH65" i="11" s="1"/>
  <c r="Q65" i="11"/>
  <c r="R65" i="11"/>
  <c r="S65" i="11"/>
  <c r="T65" i="11"/>
  <c r="E66" i="11"/>
  <c r="V66" i="11" s="1"/>
  <c r="AB66" i="11" s="1"/>
  <c r="AH66" i="11" s="1"/>
  <c r="M66" i="11"/>
  <c r="O66" i="11"/>
  <c r="U66" i="11" s="1"/>
  <c r="AA66" i="11" s="1"/>
  <c r="AG66" i="11" s="1"/>
  <c r="AN66" i="11" s="1"/>
  <c r="P66" i="11"/>
  <c r="Q66" i="11"/>
  <c r="R66" i="11"/>
  <c r="S66" i="11"/>
  <c r="T66" i="11"/>
  <c r="X66" i="11"/>
  <c r="AD66" i="11" s="1"/>
  <c r="AJ66" i="11" s="1"/>
  <c r="AP66" i="11" s="1"/>
  <c r="E67" i="11"/>
  <c r="M67" i="11"/>
  <c r="O67" i="11"/>
  <c r="P67" i="11"/>
  <c r="V67" i="11" s="1"/>
  <c r="AB67" i="11" s="1"/>
  <c r="AH67" i="11" s="1"/>
  <c r="Q67" i="11"/>
  <c r="R67" i="11"/>
  <c r="S67" i="11"/>
  <c r="T67" i="11"/>
  <c r="E68" i="11"/>
  <c r="V68" i="11" s="1"/>
  <c r="AB68" i="11" s="1"/>
  <c r="AH68" i="11" s="1"/>
  <c r="M68" i="11"/>
  <c r="O68" i="11"/>
  <c r="U68" i="11" s="1"/>
  <c r="AA68" i="11" s="1"/>
  <c r="AG68" i="11" s="1"/>
  <c r="AN68" i="11" s="1"/>
  <c r="P68" i="11"/>
  <c r="Q68" i="11"/>
  <c r="R68" i="11"/>
  <c r="S68" i="11"/>
  <c r="T68" i="11"/>
  <c r="X68" i="11"/>
  <c r="AD68" i="11" s="1"/>
  <c r="AJ68" i="11" s="1"/>
  <c r="AP68" i="11" s="1"/>
  <c r="E69" i="11"/>
  <c r="M69" i="11"/>
  <c r="O69" i="11"/>
  <c r="P69" i="11"/>
  <c r="V69" i="11" s="1"/>
  <c r="AB69" i="11" s="1"/>
  <c r="AH69" i="11" s="1"/>
  <c r="Q69" i="11"/>
  <c r="R69" i="11"/>
  <c r="S69" i="11"/>
  <c r="T69" i="11"/>
  <c r="E70" i="11"/>
  <c r="M70" i="11"/>
  <c r="O70" i="11"/>
  <c r="P70" i="11"/>
  <c r="Q70" i="11"/>
  <c r="R70" i="11"/>
  <c r="S70" i="11"/>
  <c r="T70" i="11"/>
  <c r="U70" i="11"/>
  <c r="AA70" i="11" s="1"/>
  <c r="AG70" i="11" s="1"/>
  <c r="AN70" i="11" s="1"/>
  <c r="X70" i="11"/>
  <c r="AD70" i="11" s="1"/>
  <c r="AJ70" i="11" s="1"/>
  <c r="AP70" i="11" s="1"/>
  <c r="E71" i="11"/>
  <c r="M71" i="11"/>
  <c r="O71" i="11"/>
  <c r="P71" i="11"/>
  <c r="V71" i="11" s="1"/>
  <c r="AB71" i="11" s="1"/>
  <c r="AH71" i="11" s="1"/>
  <c r="Q71" i="11"/>
  <c r="R71" i="11"/>
  <c r="S71" i="11"/>
  <c r="T71" i="11"/>
  <c r="E72" i="11"/>
  <c r="M72" i="11"/>
  <c r="O72" i="11"/>
  <c r="U72" i="11" s="1"/>
  <c r="AA72" i="11" s="1"/>
  <c r="AG72" i="11" s="1"/>
  <c r="AN72" i="11" s="1"/>
  <c r="P72" i="11"/>
  <c r="Q72" i="11"/>
  <c r="R72" i="11"/>
  <c r="S72" i="11"/>
  <c r="T72" i="11"/>
  <c r="E73" i="11"/>
  <c r="M73" i="11"/>
  <c r="O73" i="11"/>
  <c r="P73" i="11"/>
  <c r="Q73" i="11"/>
  <c r="R73" i="11"/>
  <c r="S73" i="11"/>
  <c r="T73" i="11"/>
  <c r="V73" i="11"/>
  <c r="AB73" i="11" s="1"/>
  <c r="AH73" i="11"/>
  <c r="E74" i="11"/>
  <c r="M74" i="11"/>
  <c r="O74" i="11"/>
  <c r="U74" i="11" s="1"/>
  <c r="AA74" i="11" s="1"/>
  <c r="AG74" i="11" s="1"/>
  <c r="AN74" i="11" s="1"/>
  <c r="P74" i="11"/>
  <c r="Q74" i="11"/>
  <c r="R74" i="11"/>
  <c r="S74" i="11"/>
  <c r="T74" i="11"/>
  <c r="X74" i="11"/>
  <c r="AD74" i="11" s="1"/>
  <c r="AJ74" i="11" s="1"/>
  <c r="AP74" i="11" s="1"/>
  <c r="E75" i="11"/>
  <c r="M75" i="11"/>
  <c r="O75" i="11"/>
  <c r="P75" i="11"/>
  <c r="Q75" i="11"/>
  <c r="R75" i="11"/>
  <c r="S75" i="11"/>
  <c r="T75" i="11"/>
  <c r="V75" i="11"/>
  <c r="AB75" i="11" s="1"/>
  <c r="AH75" i="11" s="1"/>
  <c r="E76" i="11"/>
  <c r="M76" i="11"/>
  <c r="O76" i="11"/>
  <c r="P76" i="11"/>
  <c r="Q76" i="11"/>
  <c r="R76" i="11"/>
  <c r="S76" i="11"/>
  <c r="T76" i="11"/>
  <c r="U76" i="11"/>
  <c r="AA76" i="11" s="1"/>
  <c r="AG76" i="11" s="1"/>
  <c r="AN76" i="11" s="1"/>
  <c r="E77" i="11"/>
  <c r="M77" i="11"/>
  <c r="O77" i="11"/>
  <c r="P77" i="11"/>
  <c r="V77" i="11" s="1"/>
  <c r="AB77" i="11" s="1"/>
  <c r="AH77" i="11" s="1"/>
  <c r="Q77" i="11"/>
  <c r="R77" i="11"/>
  <c r="S77" i="11"/>
  <c r="T77" i="11"/>
  <c r="E78" i="11"/>
  <c r="M78" i="11"/>
  <c r="X78" i="11" s="1"/>
  <c r="AD78" i="11" s="1"/>
  <c r="AJ78" i="11" s="1"/>
  <c r="AP78" i="11" s="1"/>
  <c r="O78" i="11"/>
  <c r="P78" i="11"/>
  <c r="Q78" i="11"/>
  <c r="R78" i="11"/>
  <c r="S78" i="11"/>
  <c r="T78" i="11"/>
  <c r="Y78" i="11"/>
  <c r="AE78" i="11" s="1"/>
  <c r="AK78" i="11" s="1"/>
  <c r="E79" i="11"/>
  <c r="M79" i="11"/>
  <c r="O79" i="11"/>
  <c r="P79" i="11"/>
  <c r="V79" i="11" s="1"/>
  <c r="AB79" i="11" s="1"/>
  <c r="AH79" i="11" s="1"/>
  <c r="Q79" i="11"/>
  <c r="R79" i="11"/>
  <c r="S79" i="11"/>
  <c r="T79" i="11"/>
  <c r="W79" i="11"/>
  <c r="AC79" i="11" s="1"/>
  <c r="AI79" i="11" s="1"/>
  <c r="E80" i="11"/>
  <c r="M80" i="11"/>
  <c r="O80" i="11"/>
  <c r="P80" i="11"/>
  <c r="Q80" i="11"/>
  <c r="R80" i="11"/>
  <c r="S80" i="11"/>
  <c r="T80" i="11"/>
  <c r="E81" i="11"/>
  <c r="M81" i="11"/>
  <c r="O81" i="11"/>
  <c r="P81" i="11"/>
  <c r="Q81" i="11"/>
  <c r="R81" i="11"/>
  <c r="S81" i="11"/>
  <c r="T81" i="11"/>
  <c r="V81" i="11"/>
  <c r="AB81" i="11" s="1"/>
  <c r="AH81" i="11" s="1"/>
  <c r="AM81" i="11" s="1"/>
  <c r="W81" i="11"/>
  <c r="AC81" i="11" s="1"/>
  <c r="AI81" i="11" s="1"/>
  <c r="E82" i="11"/>
  <c r="M82" i="11"/>
  <c r="X82" i="11" s="1"/>
  <c r="AD82" i="11" s="1"/>
  <c r="AJ82" i="11" s="1"/>
  <c r="AP82" i="11" s="1"/>
  <c r="O82" i="11"/>
  <c r="P82" i="11"/>
  <c r="Q82" i="11"/>
  <c r="R82" i="11"/>
  <c r="S82" i="11"/>
  <c r="T82" i="11"/>
  <c r="Y82" i="11"/>
  <c r="AE82" i="11" s="1"/>
  <c r="AK82" i="11" s="1"/>
  <c r="E83" i="11"/>
  <c r="M83" i="11"/>
  <c r="O83" i="11"/>
  <c r="U83" i="11" s="1"/>
  <c r="AA83" i="11" s="1"/>
  <c r="AG83" i="11" s="1"/>
  <c r="AN83" i="11" s="1"/>
  <c r="P83" i="11"/>
  <c r="Q83" i="11"/>
  <c r="R83" i="11"/>
  <c r="S83" i="11"/>
  <c r="T83" i="11"/>
  <c r="V83" i="11"/>
  <c r="W83" i="11"/>
  <c r="AC83" i="11" s="1"/>
  <c r="AI83" i="11" s="1"/>
  <c r="AB83" i="11"/>
  <c r="AH83" i="11" s="1"/>
  <c r="AM83" i="11" s="1"/>
  <c r="E84" i="11"/>
  <c r="M84" i="11"/>
  <c r="O84" i="11"/>
  <c r="P84" i="11"/>
  <c r="V84" i="11" s="1"/>
  <c r="AB84" i="11" s="1"/>
  <c r="AH84" i="11" s="1"/>
  <c r="AM84" i="11" s="1"/>
  <c r="Q84" i="11"/>
  <c r="R84" i="11"/>
  <c r="S84" i="11"/>
  <c r="T84" i="11"/>
  <c r="W84" i="11"/>
  <c r="AC84" i="11" s="1"/>
  <c r="AI84" i="11" s="1"/>
  <c r="E85" i="11"/>
  <c r="Y85" i="11" s="1"/>
  <c r="AE85" i="11" s="1"/>
  <c r="AK85" i="11" s="1"/>
  <c r="AO85" i="11" s="1"/>
  <c r="M85" i="11"/>
  <c r="O85" i="11"/>
  <c r="P85" i="11"/>
  <c r="Q85" i="11"/>
  <c r="R85" i="11"/>
  <c r="S85" i="11"/>
  <c r="T85" i="11"/>
  <c r="U85" i="11"/>
  <c r="AA85" i="11" s="1"/>
  <c r="AG85" i="11" s="1"/>
  <c r="AN85" i="11" s="1"/>
  <c r="E86" i="11"/>
  <c r="M86" i="11"/>
  <c r="O86" i="11"/>
  <c r="U86" i="11" s="1"/>
  <c r="AA86" i="11" s="1"/>
  <c r="AG86" i="11" s="1"/>
  <c r="AN86" i="11" s="1"/>
  <c r="P86" i="11"/>
  <c r="Q86" i="11"/>
  <c r="R86" i="11"/>
  <c r="S86" i="11"/>
  <c r="T86" i="11"/>
  <c r="W86" i="11"/>
  <c r="AC86" i="11" s="1"/>
  <c r="AI86" i="11" s="1"/>
  <c r="X86" i="11"/>
  <c r="AD86" i="11" s="1"/>
  <c r="AJ86" i="11" s="1"/>
  <c r="AP86" i="11" s="1"/>
  <c r="Z86" i="11"/>
  <c r="AF86" i="11" s="1"/>
  <c r="AL86" i="11" s="1"/>
  <c r="E87" i="11"/>
  <c r="M87" i="11"/>
  <c r="O87" i="11"/>
  <c r="U87" i="11" s="1"/>
  <c r="AA87" i="11" s="1"/>
  <c r="AG87" i="11" s="1"/>
  <c r="AN87" i="11" s="1"/>
  <c r="P87" i="11"/>
  <c r="Q87" i="11"/>
  <c r="R87" i="11"/>
  <c r="S87" i="11"/>
  <c r="Y87" i="11" s="1"/>
  <c r="AE87" i="11" s="1"/>
  <c r="AK87" i="11" s="1"/>
  <c r="T87" i="11"/>
  <c r="E88" i="11"/>
  <c r="M88" i="11"/>
  <c r="O88" i="11"/>
  <c r="P88" i="11"/>
  <c r="Q88" i="11"/>
  <c r="R88" i="11"/>
  <c r="S88" i="11"/>
  <c r="T88" i="11"/>
  <c r="V88" i="11"/>
  <c r="W88" i="11"/>
  <c r="AC88" i="11" s="1"/>
  <c r="AI88" i="11" s="1"/>
  <c r="AB88" i="11"/>
  <c r="AH88" i="11" s="1"/>
  <c r="AM88" i="11" s="1"/>
  <c r="E89" i="11"/>
  <c r="M89" i="11"/>
  <c r="O89" i="11"/>
  <c r="U89" i="11" s="1"/>
  <c r="AA89" i="11" s="1"/>
  <c r="AG89" i="11" s="1"/>
  <c r="AN89" i="11" s="1"/>
  <c r="P89" i="11"/>
  <c r="Q89" i="11"/>
  <c r="R89" i="11"/>
  <c r="S89" i="11"/>
  <c r="Y89" i="11" s="1"/>
  <c r="AE89" i="11" s="1"/>
  <c r="AK89" i="11" s="1"/>
  <c r="AO89" i="11" s="1"/>
  <c r="T89" i="11"/>
  <c r="W47" i="11" l="1"/>
  <c r="AC47" i="11" s="1"/>
  <c r="AI47" i="11" s="1"/>
  <c r="I28" i="11"/>
  <c r="I32" i="11" s="1"/>
  <c r="G27" i="11"/>
  <c r="G31" i="11" s="1"/>
  <c r="C35" i="11" s="1"/>
  <c r="Z81" i="11"/>
  <c r="AF81" i="11" s="1"/>
  <c r="AL81" i="11" s="1"/>
  <c r="W75" i="11"/>
  <c r="AC75" i="11" s="1"/>
  <c r="AI75" i="11" s="1"/>
  <c r="W73" i="11"/>
  <c r="AC73" i="11" s="1"/>
  <c r="AI73" i="11" s="1"/>
  <c r="Y70" i="11"/>
  <c r="AE70" i="11" s="1"/>
  <c r="AK70" i="11" s="1"/>
  <c r="AO70" i="11" s="1"/>
  <c r="X88" i="11"/>
  <c r="AD88" i="11" s="1"/>
  <c r="AJ88" i="11" s="1"/>
  <c r="AP88" i="11" s="1"/>
  <c r="AQ88" i="11" s="1"/>
  <c r="AT88" i="11" s="1"/>
  <c r="AU88" i="11" s="1"/>
  <c r="D88" i="11" s="1"/>
  <c r="Y84" i="11"/>
  <c r="AE84" i="11" s="1"/>
  <c r="AK84" i="11" s="1"/>
  <c r="V59" i="11"/>
  <c r="AB59" i="11" s="1"/>
  <c r="AH59" i="11" s="1"/>
  <c r="AM59" i="11" s="1"/>
  <c r="U58" i="11"/>
  <c r="AA58" i="11" s="1"/>
  <c r="AG58" i="11" s="1"/>
  <c r="AN58" i="11" s="1"/>
  <c r="U54" i="11"/>
  <c r="AA54" i="11" s="1"/>
  <c r="AG54" i="11" s="1"/>
  <c r="AN54" i="11" s="1"/>
  <c r="V86" i="11"/>
  <c r="AB86" i="11" s="1"/>
  <c r="AH86" i="11" s="1"/>
  <c r="AM86" i="11" s="1"/>
  <c r="X84" i="11"/>
  <c r="AD84" i="11" s="1"/>
  <c r="AJ84" i="11" s="1"/>
  <c r="AP84" i="11" s="1"/>
  <c r="U82" i="11"/>
  <c r="AA82" i="11" s="1"/>
  <c r="AG82" i="11" s="1"/>
  <c r="AN82" i="11" s="1"/>
  <c r="U80" i="11"/>
  <c r="AA80" i="11" s="1"/>
  <c r="AG80" i="11" s="1"/>
  <c r="AN80" i="11" s="1"/>
  <c r="U78" i="11"/>
  <c r="AA78" i="11" s="1"/>
  <c r="AG78" i="11" s="1"/>
  <c r="AN78" i="11" s="1"/>
  <c r="W77" i="11"/>
  <c r="AC77" i="11" s="1"/>
  <c r="AI77" i="11" s="1"/>
  <c r="Y74" i="11"/>
  <c r="AE74" i="11" s="1"/>
  <c r="AK74" i="11" s="1"/>
  <c r="W71" i="11"/>
  <c r="AC71" i="11" s="1"/>
  <c r="AI71" i="11" s="1"/>
  <c r="W69" i="11"/>
  <c r="AC69" i="11" s="1"/>
  <c r="AI69" i="11" s="1"/>
  <c r="W67" i="11"/>
  <c r="AC67" i="11" s="1"/>
  <c r="AI67" i="11" s="1"/>
  <c r="W65" i="11"/>
  <c r="AC65" i="11" s="1"/>
  <c r="AI65" i="11" s="1"/>
  <c r="W63" i="11"/>
  <c r="AC63" i="11" s="1"/>
  <c r="AI63" i="11" s="1"/>
  <c r="W61" i="11"/>
  <c r="AC61" i="11" s="1"/>
  <c r="AI61" i="11" s="1"/>
  <c r="U59" i="11"/>
  <c r="AA59" i="11" s="1"/>
  <c r="AG59" i="11" s="1"/>
  <c r="AN59" i="11" s="1"/>
  <c r="U55" i="11"/>
  <c r="AA55" i="11" s="1"/>
  <c r="AG55" i="11" s="1"/>
  <c r="AN55" i="11" s="1"/>
  <c r="U51" i="11"/>
  <c r="AA51" i="11" s="1"/>
  <c r="AG51" i="11" s="1"/>
  <c r="AN51" i="11" s="1"/>
  <c r="V48" i="11"/>
  <c r="AB48" i="11" s="1"/>
  <c r="AH48" i="11" s="1"/>
  <c r="AM48" i="11" s="1"/>
  <c r="Z45" i="11"/>
  <c r="AF45" i="11" s="1"/>
  <c r="AL45" i="11" s="1"/>
  <c r="AM75" i="11"/>
  <c r="AM71" i="11"/>
  <c r="Z88" i="11"/>
  <c r="AF88" i="11" s="1"/>
  <c r="AL88" i="11" s="1"/>
  <c r="Y86" i="11"/>
  <c r="AE86" i="11" s="1"/>
  <c r="AK86" i="11" s="1"/>
  <c r="AO86" i="11" s="1"/>
  <c r="Z84" i="11"/>
  <c r="AF84" i="11" s="1"/>
  <c r="AL84" i="11" s="1"/>
  <c r="Z77" i="11"/>
  <c r="AF77" i="11" s="1"/>
  <c r="AL77" i="11" s="1"/>
  <c r="U77" i="11"/>
  <c r="AA77" i="11" s="1"/>
  <c r="AG77" i="11" s="1"/>
  <c r="AN77" i="11" s="1"/>
  <c r="U75" i="11"/>
  <c r="AA75" i="11" s="1"/>
  <c r="AG75" i="11" s="1"/>
  <c r="AN75" i="11" s="1"/>
  <c r="Z73" i="11"/>
  <c r="AF73" i="11" s="1"/>
  <c r="AL73" i="11" s="1"/>
  <c r="U73" i="11"/>
  <c r="AA73" i="11" s="1"/>
  <c r="AG73" i="11" s="1"/>
  <c r="AN73" i="11" s="1"/>
  <c r="U71" i="11"/>
  <c r="AA71" i="11" s="1"/>
  <c r="AG71" i="11" s="1"/>
  <c r="AN71" i="11" s="1"/>
  <c r="Z69" i="11"/>
  <c r="AF69" i="11" s="1"/>
  <c r="AL69" i="11" s="1"/>
  <c r="U69" i="11"/>
  <c r="AA69" i="11" s="1"/>
  <c r="AG69" i="11" s="1"/>
  <c r="AN69" i="11" s="1"/>
  <c r="U67" i="11"/>
  <c r="AA67" i="11" s="1"/>
  <c r="AG67" i="11" s="1"/>
  <c r="AN67" i="11" s="1"/>
  <c r="U65" i="11"/>
  <c r="AA65" i="11" s="1"/>
  <c r="AG65" i="11" s="1"/>
  <c r="AN65" i="11" s="1"/>
  <c r="U63" i="11"/>
  <c r="AA63" i="11" s="1"/>
  <c r="AG63" i="11" s="1"/>
  <c r="AN63" i="11" s="1"/>
  <c r="U61" i="11"/>
  <c r="AA61" i="11" s="1"/>
  <c r="AG61" i="11" s="1"/>
  <c r="AN61" i="11" s="1"/>
  <c r="V50" i="11"/>
  <c r="AB50" i="11" s="1"/>
  <c r="AH50" i="11" s="1"/>
  <c r="AM50" i="11" s="1"/>
  <c r="AQ50" i="11" s="1"/>
  <c r="AT50" i="11" s="1"/>
  <c r="AU50" i="11" s="1"/>
  <c r="D50" i="11" s="1"/>
  <c r="U47" i="11"/>
  <c r="AA47" i="11" s="1"/>
  <c r="AG47" i="11" s="1"/>
  <c r="AN47" i="11" s="1"/>
  <c r="Y46" i="11"/>
  <c r="AE46" i="11" s="1"/>
  <c r="AK46" i="11" s="1"/>
  <c r="X89" i="11"/>
  <c r="AD89" i="11" s="1"/>
  <c r="AJ89" i="11" s="1"/>
  <c r="AP89" i="11" s="1"/>
  <c r="AQ86" i="11"/>
  <c r="AT86" i="11" s="1"/>
  <c r="AU86" i="11" s="1"/>
  <c r="D86" i="11" s="1"/>
  <c r="X85" i="11"/>
  <c r="AD85" i="11" s="1"/>
  <c r="AJ85" i="11" s="1"/>
  <c r="AP85" i="11" s="1"/>
  <c r="Y88" i="11"/>
  <c r="AE88" i="11" s="1"/>
  <c r="AK88" i="11" s="1"/>
  <c r="AO88" i="11" s="1"/>
  <c r="AO84" i="11"/>
  <c r="AM79" i="11"/>
  <c r="AM77" i="11"/>
  <c r="AM73" i="11"/>
  <c r="AM69" i="11"/>
  <c r="V60" i="11"/>
  <c r="AB60" i="11" s="1"/>
  <c r="AH60" i="11" s="1"/>
  <c r="Y45" i="11"/>
  <c r="AE45" i="11" s="1"/>
  <c r="AK45" i="11" s="1"/>
  <c r="U88" i="11"/>
  <c r="AA88" i="11" s="1"/>
  <c r="AG88" i="11" s="1"/>
  <c r="AN88" i="11" s="1"/>
  <c r="X87" i="11"/>
  <c r="AD87" i="11" s="1"/>
  <c r="AJ87" i="11" s="1"/>
  <c r="AP87" i="11" s="1"/>
  <c r="U84" i="11"/>
  <c r="AA84" i="11" s="1"/>
  <c r="AG84" i="11" s="1"/>
  <c r="AN84" i="11" s="1"/>
  <c r="AQ84" i="11" s="1"/>
  <c r="AT84" i="11" s="1"/>
  <c r="AU84" i="11" s="1"/>
  <c r="D84" i="11" s="1"/>
  <c r="U81" i="11"/>
  <c r="AA81" i="11" s="1"/>
  <c r="AG81" i="11" s="1"/>
  <c r="AN81" i="11" s="1"/>
  <c r="U79" i="11"/>
  <c r="AA79" i="11" s="1"/>
  <c r="AG79" i="11" s="1"/>
  <c r="AN79" i="11" s="1"/>
  <c r="Y68" i="11"/>
  <c r="AE68" i="11" s="1"/>
  <c r="AK68" i="11" s="1"/>
  <c r="AO68" i="11" s="1"/>
  <c r="Y66" i="11"/>
  <c r="AE66" i="11" s="1"/>
  <c r="AK66" i="11" s="1"/>
  <c r="Y64" i="11"/>
  <c r="AE64" i="11" s="1"/>
  <c r="AK64" i="11" s="1"/>
  <c r="AO64" i="11" s="1"/>
  <c r="Y62" i="11"/>
  <c r="AE62" i="11" s="1"/>
  <c r="AK62" i="11" s="1"/>
  <c r="AO62" i="11" s="1"/>
  <c r="X60" i="11"/>
  <c r="AD60" i="11" s="1"/>
  <c r="AJ60" i="11" s="1"/>
  <c r="AP60" i="11" s="1"/>
  <c r="V58" i="11"/>
  <c r="AB58" i="11" s="1"/>
  <c r="AH58" i="11" s="1"/>
  <c r="AM58" i="11" s="1"/>
  <c r="V56" i="11"/>
  <c r="AB56" i="11" s="1"/>
  <c r="AH56" i="11" s="1"/>
  <c r="AM56" i="11" s="1"/>
  <c r="V54" i="11"/>
  <c r="AB54" i="11" s="1"/>
  <c r="AH54" i="11" s="1"/>
  <c r="V52" i="11"/>
  <c r="AB52" i="11" s="1"/>
  <c r="AH52" i="11" s="1"/>
  <c r="U49" i="11"/>
  <c r="AA49" i="11" s="1"/>
  <c r="AG49" i="11" s="1"/>
  <c r="AN49" i="11" s="1"/>
  <c r="Y48" i="11"/>
  <c r="AE48" i="11" s="1"/>
  <c r="AK48" i="11" s="1"/>
  <c r="Y47" i="11"/>
  <c r="AE47" i="11" s="1"/>
  <c r="AK47" i="11" s="1"/>
  <c r="X46" i="11"/>
  <c r="AD46" i="11" s="1"/>
  <c r="AJ46" i="11" s="1"/>
  <c r="AP46" i="11" s="1"/>
  <c r="U45" i="11"/>
  <c r="AA45" i="11" s="1"/>
  <c r="AG45" i="11" s="1"/>
  <c r="AN45" i="11" s="1"/>
  <c r="X83" i="11"/>
  <c r="AD83" i="11" s="1"/>
  <c r="AJ83" i="11" s="1"/>
  <c r="AP83" i="11" s="1"/>
  <c r="Y83" i="11"/>
  <c r="AE83" i="11" s="1"/>
  <c r="AK83" i="11" s="1"/>
  <c r="AO83" i="11" s="1"/>
  <c r="V80" i="11"/>
  <c r="AB80" i="11" s="1"/>
  <c r="AH80" i="11" s="1"/>
  <c r="Z80" i="11"/>
  <c r="AF80" i="11" s="1"/>
  <c r="AL80" i="11" s="1"/>
  <c r="W80" i="11"/>
  <c r="AC80" i="11" s="1"/>
  <c r="AI80" i="11" s="1"/>
  <c r="X79" i="11"/>
  <c r="AD79" i="11" s="1"/>
  <c r="AJ79" i="11" s="1"/>
  <c r="AP79" i="11" s="1"/>
  <c r="Y79" i="11"/>
  <c r="AE79" i="11" s="1"/>
  <c r="AK79" i="11" s="1"/>
  <c r="V76" i="11"/>
  <c r="AB76" i="11" s="1"/>
  <c r="AH76" i="11" s="1"/>
  <c r="Z76" i="11"/>
  <c r="AF76" i="11" s="1"/>
  <c r="AL76" i="11" s="1"/>
  <c r="W76" i="11"/>
  <c r="AC76" i="11" s="1"/>
  <c r="AI76" i="11" s="1"/>
  <c r="X75" i="11"/>
  <c r="AD75" i="11" s="1"/>
  <c r="AJ75" i="11" s="1"/>
  <c r="AP75" i="11" s="1"/>
  <c r="Y75" i="11"/>
  <c r="AE75" i="11" s="1"/>
  <c r="AK75" i="11" s="1"/>
  <c r="AO75" i="11" s="1"/>
  <c r="AQ75" i="11" s="1"/>
  <c r="AT75" i="11" s="1"/>
  <c r="AU75" i="11" s="1"/>
  <c r="D75" i="11" s="1"/>
  <c r="V72" i="11"/>
  <c r="AB72" i="11" s="1"/>
  <c r="AH72" i="11" s="1"/>
  <c r="Z72" i="11"/>
  <c r="AF72" i="11" s="1"/>
  <c r="AL72" i="11" s="1"/>
  <c r="W72" i="11"/>
  <c r="AC72" i="11" s="1"/>
  <c r="AI72" i="11" s="1"/>
  <c r="X71" i="11"/>
  <c r="AD71" i="11" s="1"/>
  <c r="AJ71" i="11" s="1"/>
  <c r="AP71" i="11" s="1"/>
  <c r="Y71" i="11"/>
  <c r="AE71" i="11" s="1"/>
  <c r="AK71" i="11" s="1"/>
  <c r="X67" i="11"/>
  <c r="AD67" i="11" s="1"/>
  <c r="AJ67" i="11" s="1"/>
  <c r="AP67" i="11" s="1"/>
  <c r="Y67" i="11"/>
  <c r="AE67" i="11" s="1"/>
  <c r="AK67" i="11" s="1"/>
  <c r="X65" i="11"/>
  <c r="AD65" i="11" s="1"/>
  <c r="AJ65" i="11" s="1"/>
  <c r="AP65" i="11" s="1"/>
  <c r="Y65" i="11"/>
  <c r="AE65" i="11" s="1"/>
  <c r="AK65" i="11" s="1"/>
  <c r="X63" i="11"/>
  <c r="AD63" i="11" s="1"/>
  <c r="AJ63" i="11" s="1"/>
  <c r="AP63" i="11" s="1"/>
  <c r="Y63" i="11"/>
  <c r="AE63" i="11" s="1"/>
  <c r="AK63" i="11" s="1"/>
  <c r="X61" i="11"/>
  <c r="AD61" i="11" s="1"/>
  <c r="AJ61" i="11" s="1"/>
  <c r="AP61" i="11" s="1"/>
  <c r="Y61" i="11"/>
  <c r="AE61" i="11" s="1"/>
  <c r="AK61" i="11" s="1"/>
  <c r="X59" i="11"/>
  <c r="AD59" i="11" s="1"/>
  <c r="AJ59" i="11" s="1"/>
  <c r="AP59" i="11" s="1"/>
  <c r="Y59" i="11"/>
  <c r="AE59" i="11" s="1"/>
  <c r="AK59" i="11" s="1"/>
  <c r="AO59" i="11" s="1"/>
  <c r="X57" i="11"/>
  <c r="AD57" i="11" s="1"/>
  <c r="AJ57" i="11" s="1"/>
  <c r="AP57" i="11" s="1"/>
  <c r="Y57" i="11"/>
  <c r="AE57" i="11" s="1"/>
  <c r="AK57" i="11" s="1"/>
  <c r="AO57" i="11" s="1"/>
  <c r="AQ57" i="11" s="1"/>
  <c r="AT57" i="11" s="1"/>
  <c r="AU57" i="11" s="1"/>
  <c r="D57" i="11" s="1"/>
  <c r="X55" i="11"/>
  <c r="AD55" i="11" s="1"/>
  <c r="AJ55" i="11" s="1"/>
  <c r="AP55" i="11" s="1"/>
  <c r="Y55" i="11"/>
  <c r="AE55" i="11" s="1"/>
  <c r="AK55" i="11" s="1"/>
  <c r="X53" i="11"/>
  <c r="AD53" i="11" s="1"/>
  <c r="AJ53" i="11" s="1"/>
  <c r="AP53" i="11" s="1"/>
  <c r="Y53" i="11"/>
  <c r="AE53" i="11" s="1"/>
  <c r="AK53" i="11" s="1"/>
  <c r="AO53" i="11" s="1"/>
  <c r="X51" i="11"/>
  <c r="AD51" i="11" s="1"/>
  <c r="AJ51" i="11" s="1"/>
  <c r="AP51" i="11" s="1"/>
  <c r="Y51" i="11"/>
  <c r="AE51" i="11" s="1"/>
  <c r="AK51" i="11" s="1"/>
  <c r="X49" i="11"/>
  <c r="AD49" i="11" s="1"/>
  <c r="AJ49" i="11" s="1"/>
  <c r="AP49" i="11" s="1"/>
  <c r="Y49" i="11"/>
  <c r="AE49" i="11" s="1"/>
  <c r="AK49" i="11" s="1"/>
  <c r="H24" i="11"/>
  <c r="H28" i="11" s="1"/>
  <c r="H32" i="11" s="1"/>
  <c r="C36" i="11" s="1"/>
  <c r="G24" i="11"/>
  <c r="G28" i="11" s="1"/>
  <c r="G32" i="11" s="1"/>
  <c r="C37" i="11" s="1"/>
  <c r="I23" i="11"/>
  <c r="I27" i="11" s="1"/>
  <c r="I31" i="11" s="1"/>
  <c r="Z89" i="11"/>
  <c r="AF89" i="11" s="1"/>
  <c r="AL89" i="11" s="1"/>
  <c r="V89" i="11"/>
  <c r="AB89" i="11" s="1"/>
  <c r="AH89" i="11" s="1"/>
  <c r="AM89" i="11" s="1"/>
  <c r="AQ89" i="11" s="1"/>
  <c r="AT89" i="11" s="1"/>
  <c r="AU89" i="11" s="1"/>
  <c r="D89" i="11" s="1"/>
  <c r="Z87" i="11"/>
  <c r="AF87" i="11" s="1"/>
  <c r="AL87" i="11" s="1"/>
  <c r="AO87" i="11" s="1"/>
  <c r="V87" i="11"/>
  <c r="AB87" i="11" s="1"/>
  <c r="AH87" i="11" s="1"/>
  <c r="AM87" i="11" s="1"/>
  <c r="Z85" i="11"/>
  <c r="AF85" i="11" s="1"/>
  <c r="AL85" i="11" s="1"/>
  <c r="V85" i="11"/>
  <c r="AB85" i="11" s="1"/>
  <c r="AH85" i="11" s="1"/>
  <c r="AM85" i="11" s="1"/>
  <c r="AQ85" i="11" s="1"/>
  <c r="AT85" i="11" s="1"/>
  <c r="AU85" i="11" s="1"/>
  <c r="D85" i="11" s="1"/>
  <c r="Z83" i="11"/>
  <c r="AF83" i="11" s="1"/>
  <c r="AL83" i="11" s="1"/>
  <c r="X80" i="11"/>
  <c r="AD80" i="11" s="1"/>
  <c r="AJ80" i="11" s="1"/>
  <c r="AP80" i="11" s="1"/>
  <c r="Z79" i="11"/>
  <c r="AF79" i="11" s="1"/>
  <c r="AL79" i="11" s="1"/>
  <c r="X76" i="11"/>
  <c r="AD76" i="11" s="1"/>
  <c r="AJ76" i="11" s="1"/>
  <c r="AP76" i="11" s="1"/>
  <c r="Z75" i="11"/>
  <c r="AF75" i="11" s="1"/>
  <c r="AL75" i="11" s="1"/>
  <c r="X72" i="11"/>
  <c r="AD72" i="11" s="1"/>
  <c r="AJ72" i="11" s="1"/>
  <c r="AP72" i="11" s="1"/>
  <c r="Z71" i="11"/>
  <c r="AF71" i="11" s="1"/>
  <c r="AL71" i="11" s="1"/>
  <c r="Z67" i="11"/>
  <c r="AF67" i="11" s="1"/>
  <c r="AL67" i="11" s="1"/>
  <c r="Z65" i="11"/>
  <c r="AF65" i="11" s="1"/>
  <c r="AL65" i="11" s="1"/>
  <c r="Z63" i="11"/>
  <c r="AF63" i="11" s="1"/>
  <c r="AL63" i="11" s="1"/>
  <c r="Z61" i="11"/>
  <c r="AF61" i="11" s="1"/>
  <c r="AL61" i="11" s="1"/>
  <c r="Z59" i="11"/>
  <c r="AF59" i="11" s="1"/>
  <c r="AL59" i="11" s="1"/>
  <c r="Z57" i="11"/>
  <c r="AF57" i="11" s="1"/>
  <c r="AL57" i="11" s="1"/>
  <c r="Z55" i="11"/>
  <c r="AF55" i="11" s="1"/>
  <c r="AL55" i="11" s="1"/>
  <c r="Z53" i="11"/>
  <c r="AF53" i="11" s="1"/>
  <c r="AL53" i="11" s="1"/>
  <c r="Z51" i="11"/>
  <c r="AF51" i="11" s="1"/>
  <c r="AL51" i="11" s="1"/>
  <c r="Z49" i="11"/>
  <c r="AF49" i="11" s="1"/>
  <c r="AL49" i="11" s="1"/>
  <c r="Z47" i="11"/>
  <c r="AF47" i="11" s="1"/>
  <c r="AL47" i="11" s="1"/>
  <c r="AO47" i="11" s="1"/>
  <c r="V82" i="11"/>
  <c r="AB82" i="11" s="1"/>
  <c r="AH82" i="11" s="1"/>
  <c r="AM82" i="11" s="1"/>
  <c r="Z82" i="11"/>
  <c r="AF82" i="11" s="1"/>
  <c r="AL82" i="11" s="1"/>
  <c r="AO82" i="11" s="1"/>
  <c r="W82" i="11"/>
  <c r="AC82" i="11" s="1"/>
  <c r="AI82" i="11" s="1"/>
  <c r="X81" i="11"/>
  <c r="AD81" i="11" s="1"/>
  <c r="AJ81" i="11" s="1"/>
  <c r="AP81" i="11" s="1"/>
  <c r="Y81" i="11"/>
  <c r="AE81" i="11" s="1"/>
  <c r="AK81" i="11" s="1"/>
  <c r="V78" i="11"/>
  <c r="AB78" i="11" s="1"/>
  <c r="AH78" i="11" s="1"/>
  <c r="Z78" i="11"/>
  <c r="AF78" i="11" s="1"/>
  <c r="AL78" i="11" s="1"/>
  <c r="AO78" i="11" s="1"/>
  <c r="W78" i="11"/>
  <c r="AC78" i="11" s="1"/>
  <c r="AI78" i="11" s="1"/>
  <c r="X77" i="11"/>
  <c r="AD77" i="11" s="1"/>
  <c r="AJ77" i="11" s="1"/>
  <c r="AP77" i="11" s="1"/>
  <c r="Y77" i="11"/>
  <c r="AE77" i="11" s="1"/>
  <c r="AK77" i="11" s="1"/>
  <c r="AO77" i="11" s="1"/>
  <c r="V74" i="11"/>
  <c r="AB74" i="11" s="1"/>
  <c r="AH74" i="11" s="1"/>
  <c r="Z74" i="11"/>
  <c r="AF74" i="11" s="1"/>
  <c r="AL74" i="11" s="1"/>
  <c r="AO74" i="11" s="1"/>
  <c r="W74" i="11"/>
  <c r="AC74" i="11" s="1"/>
  <c r="AI74" i="11" s="1"/>
  <c r="X73" i="11"/>
  <c r="AD73" i="11" s="1"/>
  <c r="AJ73" i="11" s="1"/>
  <c r="AP73" i="11" s="1"/>
  <c r="Y73" i="11"/>
  <c r="AE73" i="11" s="1"/>
  <c r="AK73" i="11" s="1"/>
  <c r="V70" i="11"/>
  <c r="AB70" i="11" s="1"/>
  <c r="AH70" i="11" s="1"/>
  <c r="Z70" i="11"/>
  <c r="AF70" i="11" s="1"/>
  <c r="AL70" i="11" s="1"/>
  <c r="W70" i="11"/>
  <c r="AC70" i="11" s="1"/>
  <c r="AI70" i="11" s="1"/>
  <c r="X69" i="11"/>
  <c r="AD69" i="11" s="1"/>
  <c r="AJ69" i="11" s="1"/>
  <c r="AP69" i="11" s="1"/>
  <c r="Y69" i="11"/>
  <c r="AE69" i="11" s="1"/>
  <c r="AK69" i="11" s="1"/>
  <c r="AO69" i="11" s="1"/>
  <c r="AQ69" i="11" s="1"/>
  <c r="AT69" i="11" s="1"/>
  <c r="AU69" i="11" s="1"/>
  <c r="D69" i="11" s="1"/>
  <c r="W89" i="11"/>
  <c r="AC89" i="11" s="1"/>
  <c r="AI89" i="11" s="1"/>
  <c r="W87" i="11"/>
  <c r="AC87" i="11" s="1"/>
  <c r="AI87" i="11" s="1"/>
  <c r="W85" i="11"/>
  <c r="AC85" i="11" s="1"/>
  <c r="AI85" i="11" s="1"/>
  <c r="Y80" i="11"/>
  <c r="AE80" i="11" s="1"/>
  <c r="AK80" i="11" s="1"/>
  <c r="AO80" i="11" s="1"/>
  <c r="Y76" i="11"/>
  <c r="AE76" i="11" s="1"/>
  <c r="AK76" i="11" s="1"/>
  <c r="AO76" i="11" s="1"/>
  <c r="Y72" i="11"/>
  <c r="AE72" i="11" s="1"/>
  <c r="AK72" i="11" s="1"/>
  <c r="AO72" i="11" s="1"/>
  <c r="AM65" i="11"/>
  <c r="AM63" i="11"/>
  <c r="AM61" i="11"/>
  <c r="AQ59" i="11"/>
  <c r="AT59" i="11" s="1"/>
  <c r="AU59" i="11" s="1"/>
  <c r="D59" i="11" s="1"/>
  <c r="AM53" i="11"/>
  <c r="AQ53" i="11" s="1"/>
  <c r="AT53" i="11" s="1"/>
  <c r="AU53" i="11" s="1"/>
  <c r="D53" i="11" s="1"/>
  <c r="AM51" i="11"/>
  <c r="AM47" i="11"/>
  <c r="X47" i="11"/>
  <c r="AD47" i="11" s="1"/>
  <c r="AJ47" i="11" s="1"/>
  <c r="AP47" i="11" s="1"/>
  <c r="AM45" i="11"/>
  <c r="X45" i="11"/>
  <c r="AD45" i="11" s="1"/>
  <c r="AJ45" i="11" s="1"/>
  <c r="AP45" i="11" s="1"/>
  <c r="H23" i="11"/>
  <c r="H27" i="11" s="1"/>
  <c r="H31" i="11" s="1"/>
  <c r="C34" i="11" s="1"/>
  <c r="C38" i="11" s="1"/>
  <c r="C39" i="11" s="1"/>
  <c r="C40" i="11" s="1"/>
  <c r="W68" i="11"/>
  <c r="AC68" i="11" s="1"/>
  <c r="AI68" i="11" s="1"/>
  <c r="AM68" i="11" s="1"/>
  <c r="AQ68" i="11" s="1"/>
  <c r="AT68" i="11" s="1"/>
  <c r="AU68" i="11" s="1"/>
  <c r="D68" i="11" s="1"/>
  <c r="W66" i="11"/>
  <c r="AC66" i="11" s="1"/>
  <c r="AI66" i="11" s="1"/>
  <c r="AM66" i="11" s="1"/>
  <c r="W64" i="11"/>
  <c r="AC64" i="11" s="1"/>
  <c r="AI64" i="11" s="1"/>
  <c r="AM64" i="11" s="1"/>
  <c r="AQ64" i="11" s="1"/>
  <c r="AT64" i="11" s="1"/>
  <c r="AU64" i="11" s="1"/>
  <c r="D64" i="11" s="1"/>
  <c r="W62" i="11"/>
  <c r="AC62" i="11" s="1"/>
  <c r="AI62" i="11" s="1"/>
  <c r="AM62" i="11" s="1"/>
  <c r="AQ62" i="11" s="1"/>
  <c r="AT62" i="11" s="1"/>
  <c r="AU62" i="11" s="1"/>
  <c r="D62" i="11" s="1"/>
  <c r="W60" i="11"/>
  <c r="AC60" i="11" s="1"/>
  <c r="AI60" i="11" s="1"/>
  <c r="W58" i="11"/>
  <c r="AC58" i="11" s="1"/>
  <c r="AI58" i="11" s="1"/>
  <c r="W56" i="11"/>
  <c r="AC56" i="11" s="1"/>
  <c r="AI56" i="11" s="1"/>
  <c r="W54" i="11"/>
  <c r="AC54" i="11" s="1"/>
  <c r="AI54" i="11" s="1"/>
  <c r="AM54" i="11" s="1"/>
  <c r="W52" i="11"/>
  <c r="AC52" i="11" s="1"/>
  <c r="AI52" i="11" s="1"/>
  <c r="AM52" i="11" s="1"/>
  <c r="W50" i="11"/>
  <c r="AC50" i="11" s="1"/>
  <c r="AI50" i="11" s="1"/>
  <c r="W48" i="11"/>
  <c r="AC48" i="11" s="1"/>
  <c r="AI48" i="11" s="1"/>
  <c r="W46" i="11"/>
  <c r="AC46" i="11" s="1"/>
  <c r="AI46" i="11" s="1"/>
  <c r="AM46" i="11" s="1"/>
  <c r="Z68" i="11"/>
  <c r="AF68" i="11" s="1"/>
  <c r="AL68" i="11" s="1"/>
  <c r="Z66" i="11"/>
  <c r="AF66" i="11" s="1"/>
  <c r="AL66" i="11" s="1"/>
  <c r="AO66" i="11" s="1"/>
  <c r="Z64" i="11"/>
  <c r="AF64" i="11" s="1"/>
  <c r="AL64" i="11" s="1"/>
  <c r="Z62" i="11"/>
  <c r="AF62" i="11" s="1"/>
  <c r="AL62" i="11" s="1"/>
  <c r="Z60" i="11"/>
  <c r="AF60" i="11" s="1"/>
  <c r="AL60" i="11" s="1"/>
  <c r="AO60" i="11" s="1"/>
  <c r="Z58" i="11"/>
  <c r="AF58" i="11" s="1"/>
  <c r="AL58" i="11" s="1"/>
  <c r="AO58" i="11" s="1"/>
  <c r="AQ58" i="11" s="1"/>
  <c r="AT58" i="11" s="1"/>
  <c r="AU58" i="11" s="1"/>
  <c r="D58" i="11" s="1"/>
  <c r="Z56" i="11"/>
  <c r="AF56" i="11" s="1"/>
  <c r="AL56" i="11" s="1"/>
  <c r="AO56" i="11" s="1"/>
  <c r="AQ56" i="11" s="1"/>
  <c r="AT56" i="11" s="1"/>
  <c r="AU56" i="11" s="1"/>
  <c r="D56" i="11" s="1"/>
  <c r="Z54" i="11"/>
  <c r="AF54" i="11" s="1"/>
  <c r="AL54" i="11" s="1"/>
  <c r="AO54" i="11" s="1"/>
  <c r="Z52" i="11"/>
  <c r="AF52" i="11" s="1"/>
  <c r="AL52" i="11" s="1"/>
  <c r="AO52" i="11" s="1"/>
  <c r="Z50" i="11"/>
  <c r="AF50" i="11" s="1"/>
  <c r="AL50" i="11" s="1"/>
  <c r="Z48" i="11"/>
  <c r="AF48" i="11" s="1"/>
  <c r="AL48" i="11" s="1"/>
  <c r="AO48" i="11" s="1"/>
  <c r="AQ48" i="11" s="1"/>
  <c r="AT48" i="11" s="1"/>
  <c r="AU48" i="11" s="1"/>
  <c r="D48" i="11" s="1"/>
  <c r="Z46" i="11"/>
  <c r="AF46" i="11" s="1"/>
  <c r="AL46" i="11" s="1"/>
  <c r="AO46" i="11" s="1"/>
  <c r="AM60" i="11" l="1"/>
  <c r="AQ60" i="11" s="1"/>
  <c r="AT60" i="11" s="1"/>
  <c r="AU60" i="11" s="1"/>
  <c r="D60" i="11" s="1"/>
  <c r="AM76" i="11"/>
  <c r="AM67" i="11"/>
  <c r="AQ77" i="11"/>
  <c r="AT77" i="11" s="1"/>
  <c r="AU77" i="11" s="1"/>
  <c r="D77" i="11" s="1"/>
  <c r="AO81" i="11"/>
  <c r="AQ81" i="11" s="1"/>
  <c r="AT81" i="11" s="1"/>
  <c r="AU81" i="11" s="1"/>
  <c r="D81" i="11" s="1"/>
  <c r="AM78" i="11"/>
  <c r="AQ83" i="11"/>
  <c r="AT83" i="11" s="1"/>
  <c r="AU83" i="11" s="1"/>
  <c r="D83" i="11" s="1"/>
  <c r="AQ46" i="11"/>
  <c r="AT46" i="11" s="1"/>
  <c r="AU46" i="11" s="1"/>
  <c r="D46" i="11" s="1"/>
  <c r="AQ54" i="11"/>
  <c r="AT54" i="11" s="1"/>
  <c r="AU54" i="11" s="1"/>
  <c r="D54" i="11" s="1"/>
  <c r="AQ52" i="11"/>
  <c r="AT52" i="11" s="1"/>
  <c r="AU52" i="11" s="1"/>
  <c r="D52" i="11" s="1"/>
  <c r="AQ66" i="11"/>
  <c r="AT66" i="11" s="1"/>
  <c r="AU66" i="11" s="1"/>
  <c r="D66" i="11" s="1"/>
  <c r="AQ47" i="11"/>
  <c r="AT47" i="11" s="1"/>
  <c r="AU47" i="11" s="1"/>
  <c r="D47" i="11" s="1"/>
  <c r="AQ82" i="11"/>
  <c r="AT82" i="11" s="1"/>
  <c r="AU82" i="11" s="1"/>
  <c r="D82" i="11" s="1"/>
  <c r="AO45" i="11"/>
  <c r="AO51" i="11"/>
  <c r="AQ51" i="11" s="1"/>
  <c r="AT51" i="11" s="1"/>
  <c r="AU51" i="11" s="1"/>
  <c r="D51" i="11" s="1"/>
  <c r="AO55" i="11"/>
  <c r="AQ55" i="11" s="1"/>
  <c r="AT55" i="11" s="1"/>
  <c r="AU55" i="11" s="1"/>
  <c r="D55" i="11" s="1"/>
  <c r="AO63" i="11"/>
  <c r="AQ63" i="11" s="1"/>
  <c r="AT63" i="11" s="1"/>
  <c r="AU63" i="11" s="1"/>
  <c r="D63" i="11" s="1"/>
  <c r="AO67" i="11"/>
  <c r="AO79" i="11"/>
  <c r="AQ79" i="11" s="1"/>
  <c r="AT79" i="11" s="1"/>
  <c r="AU79" i="11" s="1"/>
  <c r="D79" i="11" s="1"/>
  <c r="AM80" i="11"/>
  <c r="AQ80" i="11" s="1"/>
  <c r="AT80" i="11" s="1"/>
  <c r="AU80" i="11" s="1"/>
  <c r="D80" i="11" s="1"/>
  <c r="AQ78" i="11"/>
  <c r="AT78" i="11" s="1"/>
  <c r="AU78" i="11" s="1"/>
  <c r="D78" i="11" s="1"/>
  <c r="AQ76" i="11"/>
  <c r="AT76" i="11" s="1"/>
  <c r="AU76" i="11" s="1"/>
  <c r="D76" i="11" s="1"/>
  <c r="AQ45" i="11"/>
  <c r="AT45" i="11" s="1"/>
  <c r="AU45" i="11" s="1"/>
  <c r="D45" i="11" s="1"/>
  <c r="AQ67" i="11"/>
  <c r="AT67" i="11" s="1"/>
  <c r="AU67" i="11" s="1"/>
  <c r="D67" i="11" s="1"/>
  <c r="AO73" i="11"/>
  <c r="AQ73" i="11" s="1"/>
  <c r="AT73" i="11" s="1"/>
  <c r="AU73" i="11" s="1"/>
  <c r="D73" i="11" s="1"/>
  <c r="AM74" i="11"/>
  <c r="AQ74" i="11" s="1"/>
  <c r="AT74" i="11" s="1"/>
  <c r="AU74" i="11" s="1"/>
  <c r="D74" i="11" s="1"/>
  <c r="AO49" i="11"/>
  <c r="AQ49" i="11" s="1"/>
  <c r="AT49" i="11" s="1"/>
  <c r="AU49" i="11" s="1"/>
  <c r="D49" i="11" s="1"/>
  <c r="AO61" i="11"/>
  <c r="AQ61" i="11" s="1"/>
  <c r="AT61" i="11" s="1"/>
  <c r="AU61" i="11" s="1"/>
  <c r="D61" i="11" s="1"/>
  <c r="AO65" i="11"/>
  <c r="AQ65" i="11" s="1"/>
  <c r="AT65" i="11" s="1"/>
  <c r="AU65" i="11" s="1"/>
  <c r="D65" i="11" s="1"/>
  <c r="AO71" i="11"/>
  <c r="AQ71" i="11" s="1"/>
  <c r="AT71" i="11" s="1"/>
  <c r="AU71" i="11" s="1"/>
  <c r="D71" i="11" s="1"/>
  <c r="AM72" i="11"/>
  <c r="AQ72" i="11" s="1"/>
  <c r="AT72" i="11" s="1"/>
  <c r="AU72" i="11" s="1"/>
  <c r="D72" i="11" s="1"/>
  <c r="AM70" i="11"/>
  <c r="AQ70" i="11" s="1"/>
  <c r="AT70" i="11" s="1"/>
  <c r="AU70" i="11" s="1"/>
  <c r="D70" i="11" s="1"/>
  <c r="AQ87" i="11"/>
  <c r="AT87" i="11" s="1"/>
  <c r="AU87" i="11" s="1"/>
  <c r="D87" i="11" s="1"/>
  <c r="AB8" i="8" l="1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7" i="8"/>
  <c r="H14" i="8" l="1"/>
  <c r="H22" i="8"/>
  <c r="C39" i="8"/>
  <c r="Q27" i="8"/>
  <c r="P27" i="8" s="1"/>
  <c r="R27" i="8" s="1"/>
  <c r="K27" i="8"/>
  <c r="R26" i="8"/>
  <c r="Q26" i="8"/>
  <c r="S26" i="8" s="1"/>
  <c r="K25" i="8"/>
  <c r="R24" i="8"/>
  <c r="T24" i="8" s="1"/>
  <c r="Q24" i="8"/>
  <c r="Q23" i="8"/>
  <c r="P23" i="8" s="1"/>
  <c r="N23" i="8"/>
  <c r="L23" i="8"/>
  <c r="K23" i="8"/>
  <c r="J23" i="8"/>
  <c r="Q22" i="8"/>
  <c r="P22" i="8" s="1"/>
  <c r="N22" i="8"/>
  <c r="L22" i="8"/>
  <c r="K22" i="8"/>
  <c r="J22" i="8"/>
  <c r="Q21" i="8"/>
  <c r="P21" i="8" s="1"/>
  <c r="N21" i="8"/>
  <c r="L21" i="8"/>
  <c r="K21" i="8"/>
  <c r="J21" i="8"/>
  <c r="Q14" i="8"/>
  <c r="P14" i="8" s="1"/>
  <c r="O14" i="8"/>
  <c r="N14" i="8"/>
  <c r="M14" i="8"/>
  <c r="L14" i="8"/>
  <c r="K14" i="8"/>
  <c r="J14" i="8"/>
  <c r="N13" i="8"/>
  <c r="L13" i="8"/>
  <c r="K13" i="8"/>
  <c r="J13" i="8"/>
  <c r="K10" i="8"/>
  <c r="Q9" i="8"/>
  <c r="P9" i="8" s="1"/>
  <c r="R9" i="8" s="1"/>
  <c r="K9" i="8"/>
  <c r="F9" i="8"/>
  <c r="K8" i="8"/>
  <c r="S7" i="8"/>
  <c r="R7" i="8"/>
  <c r="O9" i="8" l="1"/>
  <c r="S9" i="8" s="1"/>
  <c r="T9" i="8" s="1"/>
  <c r="U9" i="8" s="1"/>
  <c r="T7" i="8"/>
  <c r="U7" i="8" s="1"/>
  <c r="R14" i="8"/>
  <c r="R22" i="8"/>
  <c r="S14" i="8"/>
  <c r="R23" i="8"/>
  <c r="T23" i="8" s="1"/>
  <c r="U23" i="8" s="1"/>
  <c r="O21" i="8"/>
  <c r="S21" i="8" s="1"/>
  <c r="O23" i="8"/>
  <c r="S23" i="8" s="1"/>
  <c r="R21" i="8"/>
  <c r="O13" i="8"/>
  <c r="P13" i="8" s="1"/>
  <c r="O8" i="8"/>
  <c r="Q8" i="8"/>
  <c r="M8" i="8"/>
  <c r="P25" i="8"/>
  <c r="O27" i="8"/>
  <c r="S27" i="8" s="1"/>
  <c r="T27" i="8" s="1"/>
  <c r="U27" i="8" s="1"/>
  <c r="O22" i="8"/>
  <c r="S22" i="8" s="1"/>
  <c r="T22" i="8" s="1"/>
  <c r="S24" i="8"/>
  <c r="U24" i="8" s="1"/>
  <c r="T21" i="8" l="1"/>
  <c r="U21" i="8" s="1"/>
  <c r="Q13" i="8"/>
  <c r="S13" i="8" s="1"/>
  <c r="R13" i="8"/>
  <c r="U22" i="8"/>
  <c r="Q25" i="8"/>
  <c r="O25" i="8" s="1"/>
  <c r="S25" i="8" s="1"/>
  <c r="R25" i="8"/>
  <c r="P8" i="8"/>
  <c r="S8" i="8" s="1"/>
  <c r="R8" i="8"/>
  <c r="T13" i="8" l="1"/>
  <c r="U13" i="8" s="1"/>
  <c r="O10" i="8"/>
  <c r="P10" i="8" s="1"/>
  <c r="T8" i="8"/>
  <c r="U8" i="8" s="1"/>
  <c r="T25" i="8"/>
  <c r="U25" i="8" s="1"/>
  <c r="Q10" i="8" l="1"/>
  <c r="S10" i="8" s="1"/>
  <c r="R10" i="8"/>
  <c r="Q16" i="8"/>
  <c r="P16" i="8" s="1"/>
  <c r="R16" i="8" s="1"/>
  <c r="K16" i="8"/>
  <c r="O16" i="8"/>
  <c r="M16" i="8"/>
  <c r="M17" i="8"/>
  <c r="O17" i="8"/>
  <c r="Q17" i="8"/>
  <c r="P17" i="8" s="1"/>
  <c r="R17" i="8" s="1"/>
  <c r="K17" i="8"/>
  <c r="M15" i="8"/>
  <c r="O15" i="8"/>
  <c r="Q15" i="8"/>
  <c r="P15" i="8" s="1"/>
  <c r="R15" i="8" s="1"/>
  <c r="K15" i="8"/>
  <c r="S15" i="8" l="1"/>
  <c r="T15" i="8" s="1"/>
  <c r="U15" i="8" s="1"/>
  <c r="T10" i="8"/>
  <c r="U10" i="8" s="1"/>
  <c r="S16" i="8"/>
  <c r="T16" i="8" s="1"/>
  <c r="U16" i="8" s="1"/>
  <c r="S17" i="8"/>
  <c r="T17" i="8" s="1"/>
  <c r="U17" i="8" s="1"/>
  <c r="Z69" i="2" l="1"/>
  <c r="Y69" i="2"/>
  <c r="X69" i="2"/>
  <c r="W69" i="2"/>
  <c r="Z68" i="2"/>
  <c r="Y68" i="2"/>
  <c r="X68" i="2"/>
  <c r="W68" i="2"/>
  <c r="Z67" i="2"/>
  <c r="Y67" i="2"/>
  <c r="X67" i="2"/>
  <c r="W67" i="2"/>
  <c r="Z66" i="2"/>
  <c r="Y66" i="2"/>
  <c r="X66" i="2"/>
  <c r="W66" i="2"/>
  <c r="Z65" i="2"/>
  <c r="Y65" i="2"/>
  <c r="X65" i="2"/>
  <c r="W65" i="2"/>
  <c r="Z64" i="2"/>
  <c r="Y64" i="2"/>
  <c r="X64" i="2"/>
  <c r="W64" i="2"/>
  <c r="Z63" i="2"/>
  <c r="Y63" i="2"/>
  <c r="X63" i="2"/>
  <c r="W63" i="2"/>
  <c r="Z62" i="2"/>
  <c r="Y62" i="2"/>
  <c r="X62" i="2"/>
  <c r="W62" i="2"/>
  <c r="Z61" i="2"/>
  <c r="Y61" i="2"/>
  <c r="X61" i="2"/>
  <c r="W61" i="2"/>
  <c r="Z56" i="2"/>
  <c r="Y56" i="2"/>
  <c r="X56" i="2"/>
  <c r="W56" i="2"/>
  <c r="Z55" i="2"/>
  <c r="Y55" i="2"/>
  <c r="X55" i="2"/>
  <c r="W55" i="2"/>
  <c r="Z54" i="2"/>
  <c r="Y54" i="2"/>
  <c r="X54" i="2"/>
  <c r="W54" i="2"/>
  <c r="Z53" i="2"/>
  <c r="Y53" i="2"/>
  <c r="X53" i="2"/>
  <c r="W53" i="2"/>
  <c r="Z52" i="2"/>
  <c r="Y52" i="2"/>
  <c r="X52" i="2"/>
  <c r="W52" i="2"/>
  <c r="Z51" i="2"/>
  <c r="Y51" i="2"/>
  <c r="X51" i="2"/>
  <c r="W51" i="2"/>
  <c r="Z50" i="2"/>
  <c r="Y50" i="2"/>
  <c r="X50" i="2"/>
  <c r="W50" i="2"/>
  <c r="Z49" i="2"/>
  <c r="Y49" i="2"/>
  <c r="X49" i="2"/>
  <c r="W49" i="2"/>
  <c r="Z48" i="2"/>
  <c r="Y48" i="2"/>
  <c r="X48" i="2"/>
  <c r="W48" i="2"/>
  <c r="AK74" i="2"/>
  <c r="AL72" i="2"/>
  <c r="L79" i="4" l="1"/>
  <c r="I79" i="4"/>
  <c r="L76" i="4"/>
  <c r="I76" i="4"/>
  <c r="L72" i="4"/>
  <c r="I72" i="4"/>
  <c r="L68" i="4"/>
  <c r="I68" i="4"/>
  <c r="L64" i="4"/>
  <c r="L84" i="4" s="1"/>
  <c r="I64" i="4"/>
  <c r="I84" i="4"/>
  <c r="L75" i="4"/>
  <c r="L71" i="4"/>
  <c r="L67" i="4"/>
  <c r="L87" i="4" s="1"/>
  <c r="I75" i="4"/>
  <c r="I71" i="4"/>
  <c r="I67" i="4"/>
  <c r="I77" i="4"/>
  <c r="J77" i="4"/>
  <c r="K77" i="4"/>
  <c r="L77" i="4"/>
  <c r="I78" i="4"/>
  <c r="J78" i="4"/>
  <c r="K78" i="4"/>
  <c r="L78" i="4"/>
  <c r="J79" i="4"/>
  <c r="K79" i="4"/>
  <c r="K76" i="4"/>
  <c r="J76" i="4"/>
  <c r="I73" i="4"/>
  <c r="J73" i="4"/>
  <c r="K73" i="4"/>
  <c r="L73" i="4"/>
  <c r="I74" i="4"/>
  <c r="J74" i="4"/>
  <c r="K74" i="4"/>
  <c r="L74" i="4"/>
  <c r="J75" i="4"/>
  <c r="K75" i="4"/>
  <c r="K72" i="4"/>
  <c r="J72" i="4"/>
  <c r="I69" i="4"/>
  <c r="J69" i="4"/>
  <c r="K69" i="4"/>
  <c r="L69" i="4"/>
  <c r="I70" i="4"/>
  <c r="J70" i="4"/>
  <c r="J86" i="4" s="1"/>
  <c r="K70" i="4"/>
  <c r="L70" i="4"/>
  <c r="J71" i="4"/>
  <c r="K71" i="4"/>
  <c r="K68" i="4"/>
  <c r="J68" i="4"/>
  <c r="L65" i="4"/>
  <c r="L66" i="4"/>
  <c r="L86" i="4" s="1"/>
  <c r="K65" i="4"/>
  <c r="K85" i="4" s="1"/>
  <c r="K66" i="4"/>
  <c r="K86" i="4" s="1"/>
  <c r="K67" i="4"/>
  <c r="J65" i="4"/>
  <c r="J85" i="4" s="1"/>
  <c r="J66" i="4"/>
  <c r="J67" i="4"/>
  <c r="J87" i="4" s="1"/>
  <c r="I65" i="4"/>
  <c r="I85" i="4" s="1"/>
  <c r="I66" i="4"/>
  <c r="I86" i="4" s="1"/>
  <c r="K64" i="4"/>
  <c r="K84" i="4" s="1"/>
  <c r="J64" i="4"/>
  <c r="J84" i="4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S8" i="6"/>
  <c r="S9" i="6"/>
  <c r="T9" i="6"/>
  <c r="U9" i="6" s="1"/>
  <c r="S10" i="6"/>
  <c r="T10" i="6"/>
  <c r="U10" i="6" s="1"/>
  <c r="S11" i="6"/>
  <c r="T11" i="6"/>
  <c r="U11" i="6" s="1"/>
  <c r="S12" i="6"/>
  <c r="T12" i="6"/>
  <c r="U12" i="6" s="1"/>
  <c r="S13" i="6"/>
  <c r="T13" i="6"/>
  <c r="U13" i="6" s="1"/>
  <c r="S14" i="6"/>
  <c r="T14" i="6"/>
  <c r="U14" i="6" s="1"/>
  <c r="S15" i="6"/>
  <c r="T15" i="6"/>
  <c r="U15" i="6" s="1"/>
  <c r="S16" i="6"/>
  <c r="T16" i="6"/>
  <c r="U16" i="6" s="1"/>
  <c r="S17" i="6"/>
  <c r="T17" i="6"/>
  <c r="U17" i="6" s="1"/>
  <c r="S18" i="6"/>
  <c r="T18" i="6"/>
  <c r="U18" i="6" s="1"/>
  <c r="S19" i="6"/>
  <c r="T19" i="6"/>
  <c r="U19" i="6" s="1"/>
  <c r="S20" i="6"/>
  <c r="T20" i="6"/>
  <c r="U20" i="6" s="1"/>
  <c r="S21" i="6"/>
  <c r="T21" i="6"/>
  <c r="U21" i="6" s="1"/>
  <c r="S22" i="6"/>
  <c r="T22" i="6"/>
  <c r="U22" i="6" s="1"/>
  <c r="S23" i="6"/>
  <c r="T23" i="6"/>
  <c r="U23" i="6" s="1"/>
  <c r="S24" i="6"/>
  <c r="T24" i="6"/>
  <c r="U24" i="6" s="1"/>
  <c r="S25" i="6"/>
  <c r="T25" i="6"/>
  <c r="U25" i="6" s="1"/>
  <c r="S26" i="6"/>
  <c r="T26" i="6"/>
  <c r="U26" i="6" s="1"/>
  <c r="S27" i="6"/>
  <c r="T27" i="6"/>
  <c r="U27" i="6" s="1"/>
  <c r="S28" i="6"/>
  <c r="T28" i="6"/>
  <c r="U28" i="6" s="1"/>
  <c r="S29" i="6"/>
  <c r="T29" i="6"/>
  <c r="U29" i="6" s="1"/>
  <c r="S30" i="6"/>
  <c r="T30" i="6"/>
  <c r="U30" i="6" s="1"/>
  <c r="S31" i="6"/>
  <c r="T31" i="6"/>
  <c r="U31" i="6" s="1"/>
  <c r="T8" i="6"/>
  <c r="U8" i="6" s="1"/>
  <c r="S32" i="6" l="1"/>
  <c r="T32" i="6"/>
  <c r="U32" i="6" s="1"/>
  <c r="V32" i="6" s="1"/>
  <c r="K87" i="4"/>
  <c r="L85" i="4"/>
  <c r="I87" i="4"/>
  <c r="V19" i="6" l="1"/>
  <c r="V13" i="6"/>
  <c r="V21" i="6"/>
  <c r="V29" i="6"/>
  <c r="V10" i="6"/>
  <c r="V18" i="6"/>
  <c r="V11" i="6"/>
  <c r="V27" i="6"/>
  <c r="V30" i="6"/>
  <c r="V16" i="6"/>
  <c r="V28" i="6"/>
  <c r="V9" i="6"/>
  <c r="V17" i="6"/>
  <c r="V25" i="6"/>
  <c r="V8" i="6"/>
  <c r="V14" i="6"/>
  <c r="V26" i="6"/>
  <c r="V15" i="6"/>
  <c r="V23" i="6"/>
  <c r="V31" i="6"/>
  <c r="V12" i="6"/>
  <c r="V20" i="6"/>
  <c r="V24" i="6"/>
  <c r="V22" i="6"/>
</calcChain>
</file>

<file path=xl/sharedStrings.xml><?xml version="1.0" encoding="utf-8"?>
<sst xmlns="http://schemas.openxmlformats.org/spreadsheetml/2006/main" count="1409" uniqueCount="747">
  <si>
    <t>SMTC_Model_v2p3\20100726 Mod Dev Run 53\Inputs</t>
  </si>
  <si>
    <t>Q:\WGX\09023 - I-81 Syracuse\Model\SMTC_Model_v2p3\20100726 Mod Dev Run 53.zip</t>
  </si>
  <si>
    <t>The tables here after were developed using:</t>
  </si>
  <si>
    <t>Transferred from Steve Tuttle to Brian Grady via Q:\drive deposit on 08-31-2010</t>
  </si>
  <si>
    <t>1_Highway Network\2003_base_net_clean.dbd</t>
  </si>
  <si>
    <t>ID</t>
  </si>
  <si>
    <t>LENGTH</t>
  </si>
  <si>
    <t>DIR</t>
  </si>
  <si>
    <t>NAME</t>
  </si>
  <si>
    <t>FUNCLASS</t>
  </si>
  <si>
    <t>NEW_UNQ</t>
  </si>
  <si>
    <t>MODEL_LINK</t>
  </si>
  <si>
    <t>AB_LANES</t>
  </si>
  <si>
    <t>BA_LANES</t>
  </si>
  <si>
    <t>CLASS_NUM</t>
  </si>
  <si>
    <t>COUNTY</t>
  </si>
  <si>
    <t>TOWNORCITY</t>
  </si>
  <si>
    <t>CDP</t>
  </si>
  <si>
    <t>UZA</t>
  </si>
  <si>
    <t>AB_TOLL</t>
  </si>
  <si>
    <t>BA_TOLL</t>
  </si>
  <si>
    <t>AB_HCAP</t>
  </si>
  <si>
    <t>BA_HCAP</t>
  </si>
  <si>
    <t>AB_PM_VOL</t>
  </si>
  <si>
    <t>BA_PM_VOL</t>
  </si>
  <si>
    <t>AB_AM_VOL</t>
  </si>
  <si>
    <t>BA_AM_VOL</t>
  </si>
  <si>
    <t>AB_AM_VOC</t>
  </si>
  <si>
    <t>BA_AM_VOC</t>
  </si>
  <si>
    <t>AB_PM_VOC</t>
  </si>
  <si>
    <t>BA_PM_VOC</t>
  </si>
  <si>
    <t>AB_AM_TT</t>
  </si>
  <si>
    <t>BA_AM_TT</t>
  </si>
  <si>
    <t>AB_PM_TT</t>
  </si>
  <si>
    <t>BA_PM_TT</t>
  </si>
  <si>
    <t>AB_MD_TT</t>
  </si>
  <si>
    <t>BA_MD_TT</t>
  </si>
  <si>
    <t>AB_FF_TT</t>
  </si>
  <si>
    <t>BA_FF_TT</t>
  </si>
  <si>
    <t>MODE_USED</t>
  </si>
  <si>
    <t>QUERYTRIPS</t>
  </si>
  <si>
    <t>Field</t>
  </si>
  <si>
    <t>Description</t>
  </si>
  <si>
    <t>Highway DBD Link Attributes</t>
  </si>
  <si>
    <t>Highway DBD Node Attributes</t>
  </si>
  <si>
    <t>LONGITUDE</t>
  </si>
  <si>
    <t>LATITUDE</t>
  </si>
  <si>
    <t>CENTROID</t>
  </si>
  <si>
    <t>TAZ</t>
  </si>
  <si>
    <t>MODEL_NODE</t>
  </si>
  <si>
    <t>NODE_TYPE</t>
  </si>
  <si>
    <t>HCAP</t>
  </si>
  <si>
    <t>DAILY_VOL</t>
  </si>
  <si>
    <t>AM_VOL</t>
  </si>
  <si>
    <t>PM_VOL</t>
  </si>
  <si>
    <t>AM_VOC</t>
  </si>
  <si>
    <t>PM_VOC</t>
  </si>
  <si>
    <t>CENTROID_CONNECTOR</t>
  </si>
  <si>
    <t>MUNICIPALITY</t>
  </si>
  <si>
    <t>TRANSIT_WALK_TIME</t>
  </si>
  <si>
    <t>TRANSIT_WALK_LINK</t>
  </si>
  <si>
    <t>FF_SPEED_FIXED</t>
  </si>
  <si>
    <t>AB_INT_HCAP</t>
  </si>
  <si>
    <t>BA_INT_HCAP</t>
  </si>
  <si>
    <t>AB_AM_COUNT</t>
  </si>
  <si>
    <t>BA_AM_COUNT</t>
  </si>
  <si>
    <t>AB_PM_COUNT</t>
  </si>
  <si>
    <t>BA_PM_COUNT</t>
  </si>
  <si>
    <t>AB_DAILY_VOL</t>
  </si>
  <si>
    <t>BA_DAILY_VOL</t>
  </si>
  <si>
    <t>1_Highway Network\FT_TurnPen.bin</t>
  </si>
  <si>
    <t>FROM</t>
  </si>
  <si>
    <t>TO</t>
  </si>
  <si>
    <t>LEFT</t>
  </si>
  <si>
    <t>RIGHT</t>
  </si>
  <si>
    <t>STRAIGHT</t>
  </si>
  <si>
    <t>UTURN</t>
  </si>
  <si>
    <t>Turn Penalty File</t>
  </si>
  <si>
    <t>AREA_TYPE</t>
  </si>
  <si>
    <t>FF_SPEED</t>
  </si>
  <si>
    <t>Local</t>
  </si>
  <si>
    <t>Syracuse</t>
  </si>
  <si>
    <t>Other CDP</t>
  </si>
  <si>
    <t>Urban</t>
  </si>
  <si>
    <t>Rural</t>
  </si>
  <si>
    <t>Centroid Connector</t>
  </si>
  <si>
    <t>Low Capacity Ramp</t>
  </si>
  <si>
    <t>High Capacity Ramp</t>
  </si>
  <si>
    <t>Minor Collector</t>
  </si>
  <si>
    <t>Major Collector</t>
  </si>
  <si>
    <t>Minor Arterial</t>
  </si>
  <si>
    <t>Principal Arterial</t>
  </si>
  <si>
    <t>Interstate/Freeway</t>
  </si>
  <si>
    <t>1_Highway Network\Link_Attributes.bin</t>
  </si>
  <si>
    <t>MODELFUNCLASS</t>
  </si>
  <si>
    <t>LINK_CAPACACITY</t>
  </si>
  <si>
    <t>1_Highway Network\Node_Attributes.bin</t>
  </si>
  <si>
    <t>1_Highway Network\SMTC 2003 Turn Penalty Tablev3.bin</t>
  </si>
  <si>
    <t>All PENALTY = 0</t>
  </si>
  <si>
    <t>Perhaps no longer used?</t>
  </si>
  <si>
    <t>2_Transit Network\Routes.bin</t>
  </si>
  <si>
    <t>RTE_ID</t>
  </si>
  <si>
    <t>RTE_NAME</t>
  </si>
  <si>
    <t>INOUTBOUND</t>
  </si>
  <si>
    <t>PEAK_BUSES</t>
  </si>
  <si>
    <t>Transit Route Attributes</t>
  </si>
  <si>
    <t>CENTRO_BASE_NUM</t>
  </si>
  <si>
    <t>CENTRO_RTE_NUM</t>
  </si>
  <si>
    <t>OFFPEAK_BUSES</t>
  </si>
  <si>
    <t>PEAK_HEADWAY</t>
  </si>
  <si>
    <t>OFFPEAK_HEADWAY</t>
  </si>
  <si>
    <t>2_Transit Network\RouteStops.bin</t>
  </si>
  <si>
    <t>Transit RouteStop Attributes</t>
  </si>
  <si>
    <t>DIRECTION</t>
  </si>
  <si>
    <t>STOP_ID</t>
  </si>
  <si>
    <t>NODE_ID</t>
  </si>
  <si>
    <t>STOP_NAME</t>
  </si>
  <si>
    <t>VALID_STOP</t>
  </si>
  <si>
    <t>2_Transit Network\Stops.bin</t>
  </si>
  <si>
    <t>Stop Attributes</t>
  </si>
  <si>
    <t>STOP</t>
  </si>
  <si>
    <t>3_TAZ and TripGen\2003_Base_TAZ_01_19_10.dbd</t>
  </si>
  <si>
    <t>TAZ Attributes</t>
  </si>
  <si>
    <t>AREA</t>
  </si>
  <si>
    <t>ZONE_TYPE</t>
  </si>
  <si>
    <t>POPULATION</t>
  </si>
  <si>
    <t>HOUSEHOLDS</t>
  </si>
  <si>
    <t>VEHICLES</t>
  </si>
  <si>
    <t>HBW_P</t>
  </si>
  <si>
    <t>HBW_A</t>
  </si>
  <si>
    <t>HBS_P</t>
  </si>
  <si>
    <t>HBS_A</t>
  </si>
  <si>
    <t>HBO_P</t>
  </si>
  <si>
    <t>HBO_A</t>
  </si>
  <si>
    <t>NHB_P</t>
  </si>
  <si>
    <t>NHB_A</t>
  </si>
  <si>
    <t>EDUCATION</t>
  </si>
  <si>
    <t>FIRE</t>
  </si>
  <si>
    <t>GOVERNMENT</t>
  </si>
  <si>
    <t>HEALTH</t>
  </si>
  <si>
    <t>MINING</t>
  </si>
  <si>
    <t>SERVICE</t>
  </si>
  <si>
    <t>UTILITIES</t>
  </si>
  <si>
    <t>TOTAL</t>
  </si>
  <si>
    <t>[0_1]</t>
  </si>
  <si>
    <t>[0_2]</t>
  </si>
  <si>
    <t>[0_3]</t>
  </si>
  <si>
    <t>[0_4+]</t>
  </si>
  <si>
    <t>[1_1]</t>
  </si>
  <si>
    <t>[1_2]</t>
  </si>
  <si>
    <t>[1_3]</t>
  </si>
  <si>
    <t>[1_4+]</t>
  </si>
  <si>
    <t>[2_1]</t>
  </si>
  <si>
    <t>[2_2]</t>
  </si>
  <si>
    <t>[2_3]</t>
  </si>
  <si>
    <t>[2_4+]</t>
  </si>
  <si>
    <t>[3+_1]</t>
  </si>
  <si>
    <t>[3+_2]</t>
  </si>
  <si>
    <t>[3+_3]</t>
  </si>
  <si>
    <t>[3+_4+]</t>
  </si>
  <si>
    <t>TOWNEXTSTATION</t>
  </si>
  <si>
    <t>DESCRIPTION</t>
  </si>
  <si>
    <t>OUTSIDE_ONONDAGA</t>
  </si>
  <si>
    <t>TRANSIT_ZONE</t>
  </si>
  <si>
    <t>AGRICULTURAL</t>
  </si>
  <si>
    <t>BUS_LEGAL_PERSONAL</t>
  </si>
  <si>
    <t>CONSTRUCTION</t>
  </si>
  <si>
    <t>EAT_DRINKING</t>
  </si>
  <si>
    <t>MANUFACTURING</t>
  </si>
  <si>
    <t>NONCLASSIFIABLE</t>
  </si>
  <si>
    <t>RETAILTRADE</t>
  </si>
  <si>
    <t>SOCIALSERVICES</t>
  </si>
  <si>
    <t>TRANSPORTATION</t>
  </si>
  <si>
    <t>WHOLESALETRADE</t>
  </si>
  <si>
    <t>DAILY_TOTAL</t>
  </si>
  <si>
    <t>COMMUNICATION</t>
  </si>
  <si>
    <t>FUNCTIONAL_CLASS</t>
  </si>
  <si>
    <t>AB_FF_SPEED</t>
  </si>
  <si>
    <t>BA_FF_SPEED</t>
  </si>
  <si>
    <t>AB_DAILY_COUNT</t>
  </si>
  <si>
    <t>BA_DAILY_COUNT</t>
  </si>
  <si>
    <t>2_Transit Network\transitModeTable.bin</t>
  </si>
  <si>
    <t>MODE_NAME</t>
  </si>
  <si>
    <t>MODE_ID</t>
  </si>
  <si>
    <t>TYPE</t>
  </si>
  <si>
    <t>FARE_TYPE</t>
  </si>
  <si>
    <t>SPEED</t>
  </si>
  <si>
    <t>P_HEADWAY</t>
  </si>
  <si>
    <t>OP_HEADWAY</t>
  </si>
  <si>
    <t>FARE</t>
  </si>
  <si>
    <t>MODE2</t>
  </si>
  <si>
    <t>IMP_FIELD</t>
  </si>
  <si>
    <t>Local Bus</t>
  </si>
  <si>
    <t>T</t>
  </si>
  <si>
    <t>1</t>
  </si>
  <si>
    <t>[AB_FF_TT / BA_FF_TT]</t>
  </si>
  <si>
    <t>Other Transit</t>
  </si>
  <si>
    <t>Walk</t>
  </si>
  <si>
    <t>W</t>
  </si>
  <si>
    <t>Transit_Walk_Time</t>
  </si>
  <si>
    <t>MODE_ACCESS</t>
  </si>
  <si>
    <t>MODE_EGRESS</t>
  </si>
  <si>
    <t>TOTAL_P</t>
  </si>
  <si>
    <t>VEHICLES/HH</t>
  </si>
  <si>
    <t>BICYCLE &amp; PEDESTRIAN PERCENT</t>
  </si>
  <si>
    <t>TOTAL_MOTORIZED_P</t>
  </si>
  <si>
    <t>TOTAL_MOTORIZED_A</t>
  </si>
  <si>
    <t>DOWNTOWN_DISTRICT</t>
  </si>
  <si>
    <t>3_TAZ and TripGen\Trip_Production_Rate_Table.bin</t>
  </si>
  <si>
    <t>R_HBW</t>
  </si>
  <si>
    <t>R_HBS</t>
  </si>
  <si>
    <t>R_HBO</t>
  </si>
  <si>
    <t>R_NHB</t>
  </si>
  <si>
    <t>AUTOS/HH</t>
  </si>
  <si>
    <t>PERSONS/HH</t>
  </si>
  <si>
    <t>R_DAILY_TOTAL</t>
  </si>
  <si>
    <t>Trip Production Rates</t>
  </si>
  <si>
    <t>3_TAZ and TripGen\Zones.bin</t>
  </si>
  <si>
    <t>ZONETYPE</t>
  </si>
  <si>
    <t>TOWN</t>
  </si>
  <si>
    <t>MEDDIST</t>
  </si>
  <si>
    <t>INTERNALTOWNID</t>
  </si>
  <si>
    <t>2003_SMTC_24H_EE_Vehicles.mtx</t>
  </si>
  <si>
    <t>2003_SMTC_AM_EE_Vehicles.mtx</t>
  </si>
  <si>
    <t>2003_SMTC_PM_EE_Vehicles.mtx</t>
  </si>
  <si>
    <t>Not appropriate for table documentation</t>
  </si>
  <si>
    <t>HOUR</t>
  </si>
  <si>
    <t>PERIOD</t>
  </si>
  <si>
    <t>DEP_HBW</t>
  </si>
  <si>
    <t>RET_HBW</t>
  </si>
  <si>
    <t>DEP_HBS</t>
  </si>
  <si>
    <t>RET_HBS</t>
  </si>
  <si>
    <t>DEP_HBO</t>
  </si>
  <si>
    <t>RET_HBO</t>
  </si>
  <si>
    <t>DEP_NHB</t>
  </si>
  <si>
    <t>RET_NHB</t>
  </si>
  <si>
    <t>DEP_EE</t>
  </si>
  <si>
    <t>RET_EE</t>
  </si>
  <si>
    <t>OP</t>
  </si>
  <si>
    <t>AM</t>
  </si>
  <si>
    <t>MD</t>
  </si>
  <si>
    <t>PM</t>
  </si>
  <si>
    <t>[% FLOW HBW]</t>
  </si>
  <si>
    <t>[% FLOW HBS]</t>
  </si>
  <si>
    <t>[% FLOW HBO]</t>
  </si>
  <si>
    <t>[% FLOW NHB]</t>
  </si>
  <si>
    <t>6_Assignement\VDF_Param.bin</t>
  </si>
  <si>
    <t>FAC_TYPE</t>
  </si>
  <si>
    <t>C1</t>
  </si>
  <si>
    <t>C2</t>
  </si>
  <si>
    <t>C3</t>
  </si>
  <si>
    <t>C4</t>
  </si>
  <si>
    <t>P1</t>
  </si>
  <si>
    <t>P2</t>
  </si>
  <si>
    <t>P3</t>
  </si>
  <si>
    <t>P4</t>
  </si>
  <si>
    <t>Volume-Delay Function Parameters</t>
  </si>
  <si>
    <t>Transit Mode Table</t>
  </si>
  <si>
    <t>Zone file</t>
  </si>
  <si>
    <t>3+</t>
  </si>
  <si>
    <t>HBW</t>
  </si>
  <si>
    <t>HBS</t>
  </si>
  <si>
    <t>HBO</t>
  </si>
  <si>
    <t>NHB</t>
  </si>
  <si>
    <t>4+</t>
  </si>
  <si>
    <t>TOT_DEP</t>
  </si>
  <si>
    <t>TOT_RET</t>
  </si>
  <si>
    <t>TERMINALTIME</t>
  </si>
  <si>
    <t>HOTELS_LODGE</t>
  </si>
  <si>
    <t>ONLY MATRIX FILES PRESENT ARE:</t>
  </si>
  <si>
    <t>Production Rates by Type, HH Size, and HH Vehicles</t>
  </si>
  <si>
    <t>HH VEHICLES</t>
  </si>
  <si>
    <t>HH SIZE</t>
  </si>
  <si>
    <t xml:space="preserve">HBW </t>
  </si>
  <si>
    <t xml:space="preserve">HBS </t>
  </si>
  <si>
    <t xml:space="preserve">HBO </t>
  </si>
  <si>
    <t xml:space="preserve">NHB </t>
  </si>
  <si>
    <t>Facility Type - Area Type LookUps</t>
  </si>
  <si>
    <t>Facility Type</t>
  </si>
  <si>
    <t>Free-Flow Speed</t>
  </si>
  <si>
    <t>Capacity</t>
  </si>
  <si>
    <t>Time of Day Distributions</t>
  </si>
  <si>
    <t>Where:</t>
  </si>
  <si>
    <t>see the file 'IITPR_vdf_equations.docx' for the Word equations pictured above</t>
  </si>
  <si>
    <t>Link identification code</t>
  </si>
  <si>
    <t>Link length (miles)</t>
  </si>
  <si>
    <t>Road name</t>
  </si>
  <si>
    <t>Link functional class</t>
  </si>
  <si>
    <t>Number of AB lanes</t>
  </si>
  <si>
    <t>Number of BA lanes</t>
  </si>
  <si>
    <t>Model functional class</t>
  </si>
  <si>
    <t>Model functional class number</t>
  </si>
  <si>
    <t>County</t>
  </si>
  <si>
    <t>Town</t>
  </si>
  <si>
    <t>Municipality</t>
  </si>
  <si>
    <t>AB free-flow speed (mph)</t>
  </si>
  <si>
    <t>BA free-flow speed (mph)</t>
  </si>
  <si>
    <t>AB link intersection capacity (vph)</t>
  </si>
  <si>
    <t>BA link intersection capacity (vph)</t>
  </si>
  <si>
    <t>AB daily count (vehicles)</t>
  </si>
  <si>
    <t>BA daily count (vehicles)</t>
  </si>
  <si>
    <t>AB AM hour count (vehicles)</t>
  </si>
  <si>
    <t>BA AM hour count (vehicles)</t>
  </si>
  <si>
    <t>AB PM hour count (vehicles)</t>
  </si>
  <si>
    <t>BA PM hour count (vehicles)</t>
  </si>
  <si>
    <t>AB daily model volume (vehicles)</t>
  </si>
  <si>
    <t>BA daily model volume (vehicles)</t>
  </si>
  <si>
    <t>AB PM hour model volume (vehicles)</t>
  </si>
  <si>
    <t>BA PM hour model volume (vehicles)</t>
  </si>
  <si>
    <t>AB AM hour model volume (vehicles)</t>
  </si>
  <si>
    <t>BA AM hour model volume (vehicles)</t>
  </si>
  <si>
    <t>AB AM hour volume-capacity ratio</t>
  </si>
  <si>
    <t>BA AM hour volume-capacity ratio</t>
  </si>
  <si>
    <t>AB PM hour volume-capacity ratio</t>
  </si>
  <si>
    <t>BA PM hour volume-capacity ratio</t>
  </si>
  <si>
    <t>AB AM hour travel time (mins)</t>
  </si>
  <si>
    <t>BA AM hour travel time (mins)</t>
  </si>
  <si>
    <t>AB PM hour travel time (mins)</t>
  </si>
  <si>
    <t>BA PM hour travel time (mins)</t>
  </si>
  <si>
    <t>AB Midday hour travel time (mins)</t>
  </si>
  <si>
    <t>BA Midday hour travel time (mins)</t>
  </si>
  <si>
    <t>transit mode used (70)</t>
  </si>
  <si>
    <t>Two-way daily count (vehicles)</t>
  </si>
  <si>
    <t>Node identification code</t>
  </si>
  <si>
    <t>Longitude of node</t>
  </si>
  <si>
    <t>Latitude of node</t>
  </si>
  <si>
    <t>TAZ number</t>
  </si>
  <si>
    <t>Node type</t>
  </si>
  <si>
    <t>Intersection capacity (vph)</t>
  </si>
  <si>
    <t>Daily model volume (vehicles)</t>
  </si>
  <si>
    <t>AM hour model volume (vehicles)</t>
  </si>
  <si>
    <t>PM hour model volume (vehicles)</t>
  </si>
  <si>
    <t>AM hour volume-capacity ratio</t>
  </si>
  <si>
    <t>PM hour volume-capacity ratio</t>
  </si>
  <si>
    <t>From facility type #</t>
  </si>
  <si>
    <t>To facility type #</t>
  </si>
  <si>
    <t>Left turn penalty (mins)</t>
  </si>
  <si>
    <t>Right turn penalty (mins)</t>
  </si>
  <si>
    <t>Thru turn penalty (mins)</t>
  </si>
  <si>
    <t>U-turn penalty (mins)</t>
  </si>
  <si>
    <t>Transit route identification number</t>
  </si>
  <si>
    <t>Transit route name</t>
  </si>
  <si>
    <t>Centro route number</t>
  </si>
  <si>
    <t>Number of buses in peak period</t>
  </si>
  <si>
    <t>Number of buses in off-peak period</t>
  </si>
  <si>
    <t>Peak headway (mins)</t>
  </si>
  <si>
    <t>Off-Peak headway (mins)</t>
  </si>
  <si>
    <t>Transit stop identification number</t>
  </si>
  <si>
    <t>Transit stop name</t>
  </si>
  <si>
    <t>Transit stop direction (inbound, outbound)</t>
  </si>
  <si>
    <t>Longitude of stop</t>
  </si>
  <si>
    <t>Latitude of stop</t>
  </si>
  <si>
    <t>Highway node identification number</t>
  </si>
  <si>
    <t>Transit mode name</t>
  </si>
  <si>
    <t>Mode identification number</t>
  </si>
  <si>
    <t>Mode type (1, 2, 70)</t>
  </si>
  <si>
    <t>Fare type</t>
  </si>
  <si>
    <t>Default mode speed (mph)</t>
  </si>
  <si>
    <t>Default peak headway (mins)</t>
  </si>
  <si>
    <t>Default off-peak headway (mins)</t>
  </si>
  <si>
    <t>Mode fare (dollars)</t>
  </si>
  <si>
    <t>0=no, 1=yes</t>
  </si>
  <si>
    <t>Network impedance field</t>
  </si>
  <si>
    <t>TAZ identification number</t>
  </si>
  <si>
    <t>TAZ Area (square miles)</t>
  </si>
  <si>
    <t>Zone type</t>
  </si>
  <si>
    <t>Town name</t>
  </si>
  <si>
    <t>Population (persons)</t>
  </si>
  <si>
    <t>Households</t>
  </si>
  <si>
    <t>Vehicles</t>
  </si>
  <si>
    <t>Vehicles per household</t>
  </si>
  <si>
    <t>0 vehicle, 1 person households</t>
  </si>
  <si>
    <t>0 vehicle, 2 person households</t>
  </si>
  <si>
    <t>0 vehicle, 3 person households</t>
  </si>
  <si>
    <t>0 vehicle, 4 or more person households</t>
  </si>
  <si>
    <t>1 vehicle, 1 person households</t>
  </si>
  <si>
    <t>1 vehicle, 2 person households</t>
  </si>
  <si>
    <t>1 vehicle, 3 person households</t>
  </si>
  <si>
    <t>1 vehicle, 4 or more person households</t>
  </si>
  <si>
    <t>2 vehicle, 1 person households</t>
  </si>
  <si>
    <t>2 vehicle, 2 person households</t>
  </si>
  <si>
    <t>2 vehicle, 3 person households</t>
  </si>
  <si>
    <t>2 vehicle, 4 or more person households</t>
  </si>
  <si>
    <t>3 vehicle, 1 person households</t>
  </si>
  <si>
    <t>3 vehicle, 2 person households</t>
  </si>
  <si>
    <t>3 vehicle, 3 person households</t>
  </si>
  <si>
    <t>3 vehicle, 4 or more person households</t>
  </si>
  <si>
    <t>Home-based work trip productions</t>
  </si>
  <si>
    <t>Home-based work trip attractions</t>
  </si>
  <si>
    <t>Home-based shopping trip productions</t>
  </si>
  <si>
    <t>Home-based shopping trip attractions</t>
  </si>
  <si>
    <t>Home-based other trip productions</t>
  </si>
  <si>
    <t>Home-based other trip attractions</t>
  </si>
  <si>
    <t>Nonhome-based trip productions</t>
  </si>
  <si>
    <t>Nonhome-based trip attractions</t>
  </si>
  <si>
    <t>Walk-bike percentage</t>
  </si>
  <si>
    <t>BICYCLE &amp; PEDESTRIAN_P</t>
  </si>
  <si>
    <t>Walk-bike trip productions</t>
  </si>
  <si>
    <t>Total motorized trip productions</t>
  </si>
  <si>
    <t>Total trip productions</t>
  </si>
  <si>
    <t>Total motorized trip attractions</t>
  </si>
  <si>
    <t>Total employees</t>
  </si>
  <si>
    <t>Daily total trip productions</t>
  </si>
  <si>
    <t>Terminal Time (minutes)</t>
  </si>
  <si>
    <t>Agricultural sector employees</t>
  </si>
  <si>
    <t>Business, Legal, Personal sector employees</t>
  </si>
  <si>
    <t>Communication sector employees</t>
  </si>
  <si>
    <t>Construction sector employees</t>
  </si>
  <si>
    <t>Eating, Drinking sector employees</t>
  </si>
  <si>
    <t>Education sector employees</t>
  </si>
  <si>
    <t>Fire sector employees</t>
  </si>
  <si>
    <t>Government sector employees</t>
  </si>
  <si>
    <t>Health sector employees</t>
  </si>
  <si>
    <t>Hotels, Lodging sector employees</t>
  </si>
  <si>
    <t>Manufacturing sector employees</t>
  </si>
  <si>
    <t>Mining sector employees</t>
  </si>
  <si>
    <t>Nonclassifiable sector employees</t>
  </si>
  <si>
    <t>Retail sector employees</t>
  </si>
  <si>
    <t>Service sector employees</t>
  </si>
  <si>
    <t>Social Services sector employees</t>
  </si>
  <si>
    <t>Transportation sector employees</t>
  </si>
  <si>
    <t>Utilities sector employees</t>
  </si>
  <si>
    <t>Wholesale sector employees</t>
  </si>
  <si>
    <t>Autos per household</t>
  </si>
  <si>
    <t>Persons per household</t>
  </si>
  <si>
    <t>Daily total trip production rate</t>
  </si>
  <si>
    <t>Home-based work trip production rate</t>
  </si>
  <si>
    <t>Home-based shopping trip production rate</t>
  </si>
  <si>
    <t>Home-based other trip production rate</t>
  </si>
  <si>
    <t>Nonhome-based trip production rate</t>
  </si>
  <si>
    <t>Medium size districts</t>
  </si>
  <si>
    <t>Town identification number</t>
  </si>
  <si>
    <t>Day hour (0 to 23)</t>
  </si>
  <si>
    <t>AM, MD, PM, OP</t>
  </si>
  <si>
    <t>Share of departing HBW trips</t>
  </si>
  <si>
    <t>Share of returning HBW trips</t>
  </si>
  <si>
    <t>Share of departing HBS trips</t>
  </si>
  <si>
    <t>Share of returning HBS trips</t>
  </si>
  <si>
    <t>Share of departing HBO trips</t>
  </si>
  <si>
    <t>Share of returning HBO trips</t>
  </si>
  <si>
    <t>Share of departing NHB trips</t>
  </si>
  <si>
    <t>Share of returning NHB trips</t>
  </si>
  <si>
    <t>Share of departing EE trips</t>
  </si>
  <si>
    <t>Share of returning EE trips</t>
  </si>
  <si>
    <t>Link VDF parameter 1</t>
  </si>
  <si>
    <t>Link VDF parameter 2</t>
  </si>
  <si>
    <t>Link VDF parameter 3</t>
  </si>
  <si>
    <t>Link VDF parameter 4</t>
  </si>
  <si>
    <t>Node VDF parameter 1</t>
  </si>
  <si>
    <t>Node VDF parameter 2</t>
  </si>
  <si>
    <t>Node VDF parameter 3</t>
  </si>
  <si>
    <t>Node VDF parameter 4</t>
  </si>
  <si>
    <t>ABBA Select Link Trips</t>
  </si>
  <si>
    <t>ABBA_DAILY_COUNT</t>
  </si>
  <si>
    <t>AB link capacity (vph)</t>
  </si>
  <si>
    <t>BA link capacity (vph)</t>
  </si>
  <si>
    <t>AB free-flow travel time (mins)</t>
  </si>
  <si>
    <t>BA free-flow  travel time (mins)</t>
  </si>
  <si>
    <t>Join ID to MPA Road Network</t>
  </si>
  <si>
    <t>User-Maintained</t>
  </si>
  <si>
    <t>Immutable</t>
  </si>
  <si>
    <t>User-maintained</t>
  </si>
  <si>
    <t>Computed</t>
  </si>
  <si>
    <t>Update Type</t>
  </si>
  <si>
    <t>Class Number</t>
  </si>
  <si>
    <t>Functional Class</t>
  </si>
  <si>
    <t>Highway</t>
  </si>
  <si>
    <t>External Connector</t>
  </si>
  <si>
    <t>ABBA Lane capacity Override (vphpl)</t>
  </si>
  <si>
    <t>ABBA free-flow speed Override (mph)</t>
  </si>
  <si>
    <t>--</t>
  </si>
  <si>
    <t>Lookup Table</t>
  </si>
  <si>
    <t>Node Description</t>
  </si>
  <si>
    <t>Signalized Intersections</t>
  </si>
  <si>
    <t>1 or 2 way stop</t>
  </si>
  <si>
    <t>N/A</t>
  </si>
  <si>
    <t>Governed by cap. of local street with stop control</t>
  </si>
  <si>
    <t>3 or 4 way stop</t>
  </si>
  <si>
    <t>Ramp Merge/Lane Drop</t>
  </si>
  <si>
    <t>Governed by cap. of entering/exiting segments</t>
  </si>
  <si>
    <t>Ramp Diverge/Lane Addition</t>
  </si>
  <si>
    <t>Internal Centroid</t>
  </si>
  <si>
    <t>External Centroid</t>
  </si>
  <si>
    <t>FREEWAY_SEGMENT</t>
  </si>
  <si>
    <t>AB toll cost (dollars)</t>
  </si>
  <si>
    <t>BA toll cost (dollars)</t>
  </si>
  <si>
    <t>TOTAL_HCAP_FIXED</t>
  </si>
  <si>
    <t>Removed Tollbooth</t>
  </si>
  <si>
    <t>From Lookup Table</t>
  </si>
  <si>
    <t>Mode link Indicator</t>
  </si>
  <si>
    <t>Centroid Indicator</t>
  </si>
  <si>
    <t>Census Designated Place Indicator</t>
  </si>
  <si>
    <t>Urban Area Indicator</t>
  </si>
  <si>
    <t>Walk Link Indicator</t>
  </si>
  <si>
    <t>Walk access/egress time (mins)</t>
  </si>
  <si>
    <t>Freeway ID (access ramps only)</t>
  </si>
  <si>
    <t>AB_24H_VHT</t>
  </si>
  <si>
    <t>BA_24H_VHT</t>
  </si>
  <si>
    <t>*</t>
  </si>
  <si>
    <t>AB Daily Vehicle Hours</t>
  </si>
  <si>
    <t>BA Daily Vehicle Hours</t>
  </si>
  <si>
    <t>Link Direction</t>
  </si>
  <si>
    <t>TRANSIT_NODE</t>
  </si>
  <si>
    <t>Transit_CE</t>
  </si>
  <si>
    <t>Transit Centroid</t>
  </si>
  <si>
    <t>Highway Centroid</t>
  </si>
  <si>
    <t>Model Node</t>
  </si>
  <si>
    <t>Transit Node</t>
  </si>
  <si>
    <t>MODE USED</t>
  </si>
  <si>
    <t>Mode Used Indicator</t>
  </si>
  <si>
    <t>Impedance field</t>
  </si>
  <si>
    <t>Mode Access Indicator</t>
  </si>
  <si>
    <t>Mode Egress Indicator</t>
  </si>
  <si>
    <t>Inbound/Outbound Indicator</t>
  </si>
  <si>
    <t>Router direction Indicator</t>
  </si>
  <si>
    <t>Via Point Indicator</t>
  </si>
  <si>
    <t>Onondaga Indicator</t>
  </si>
  <si>
    <t>Transit Zone Indicator</t>
  </si>
  <si>
    <t>Area Type</t>
  </si>
  <si>
    <t>District Indicator</t>
  </si>
  <si>
    <t>MSA</t>
  </si>
  <si>
    <t>n = current MSA iteration number</t>
  </si>
  <si>
    <t>where:</t>
  </si>
  <si>
    <r>
      <t>MSAFlow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 MSAFlow</t>
    </r>
    <r>
      <rPr>
        <b/>
        <vertAlign val="subscript"/>
        <sz val="11"/>
        <color theme="1"/>
        <rFont val="Calibri"/>
        <family val="2"/>
        <scheme val="minor"/>
      </rPr>
      <t>n-1</t>
    </r>
    <r>
      <rPr>
        <b/>
        <sz val="11"/>
        <color theme="1"/>
        <rFont val="Calibri"/>
        <family val="2"/>
        <scheme val="minor"/>
      </rPr>
      <t xml:space="preserve"> + (1/n)*(Flow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- MSAFlown-1)</t>
    </r>
  </si>
  <si>
    <r>
      <t>MSAFlow</t>
    </r>
    <r>
      <rPr>
        <vertAlign val="subscript"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 xml:space="preserve"> = calculated MSA flow at iteration n</t>
    </r>
  </si>
  <si>
    <r>
      <t>Flow</t>
    </r>
    <r>
      <rPr>
        <vertAlign val="subscript"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 xml:space="preserve"> = resulting flow directly from trip assignment</t>
    </r>
  </si>
  <si>
    <t>&lt;&gt; 2003</t>
  </si>
  <si>
    <t>Name</t>
  </si>
  <si>
    <t>TOTAL_A</t>
  </si>
  <si>
    <t>check</t>
  </si>
  <si>
    <t>NY State Fairgrounds</t>
  </si>
  <si>
    <t>Employees</t>
  </si>
  <si>
    <t>some shows, expos, events during year (DO NOT MODEL)</t>
  </si>
  <si>
    <t>Carousel Center</t>
  </si>
  <si>
    <t>000s sq ft</t>
  </si>
  <si>
    <t>Onondaga Community College</t>
  </si>
  <si>
    <t>Students</t>
  </si>
  <si>
    <t>Van Duyn Home &amp; Hospital</t>
  </si>
  <si>
    <t>Beds</t>
  </si>
  <si>
    <t>Van Duyn Home</t>
  </si>
  <si>
    <t>Community General Hospital</t>
  </si>
  <si>
    <t>Loretto</t>
  </si>
  <si>
    <t>2300 full &amp; part-time employees cited on website; asumed 1000</t>
  </si>
  <si>
    <t>SU South Campus</t>
  </si>
  <si>
    <t>the data for 8006 seems wrong if this is the main campus</t>
  </si>
  <si>
    <t>OnCenter</t>
  </si>
  <si>
    <t>Visitors</t>
  </si>
  <si>
    <t>Lemoyne College</t>
  </si>
  <si>
    <t>University Hill Hospitals</t>
  </si>
  <si>
    <t>ITE derived trip ends don't seem correct given 12,000 employees (# of beds probably isn't a good proxy)</t>
  </si>
  <si>
    <t>Syracuse University</t>
  </si>
  <si>
    <t>Carrier Dome</t>
  </si>
  <si>
    <t>DO NOT MODEL</t>
  </si>
  <si>
    <t>St. Joe's Hospital</t>
  </si>
  <si>
    <t>P &amp; C Stadium</t>
  </si>
  <si>
    <t>Hancock Airport</t>
  </si>
  <si>
    <t>Sq Feet</t>
  </si>
  <si>
    <t>annual enplanements</t>
  </si>
  <si>
    <t>2.718^(0.65*LN(VAR)+5.83)</t>
  </si>
  <si>
    <t>2.718^(0.89*LN(VAR)+1.24)</t>
  </si>
  <si>
    <t>(2.3*VAR)+6.07</t>
  </si>
  <si>
    <t>7.75*VAR</t>
  </si>
  <si>
    <t>3.32*VAR</t>
  </si>
  <si>
    <t>2*VAR</t>
  </si>
  <si>
    <t>(2.23*VAR)+440</t>
  </si>
  <si>
    <t>VAR Amount</t>
  </si>
  <si>
    <t>Trip End Formula</t>
  </si>
  <si>
    <t>(2.3*VAR) +6.07</t>
  </si>
  <si>
    <t>(7.42*VAR)+1733.31</t>
  </si>
  <si>
    <t>18.1*VAR</t>
  </si>
  <si>
    <t>Trip Ends</t>
  </si>
  <si>
    <t>Not Modeled</t>
  </si>
  <si>
    <t>Type</t>
  </si>
  <si>
    <t>-</t>
  </si>
  <si>
    <t>SIC Based</t>
  </si>
  <si>
    <t>Key Variable</t>
  </si>
  <si>
    <t>Trip Ends * Share of Attractions</t>
  </si>
  <si>
    <t>Special Generator</t>
  </si>
  <si>
    <t>Productions</t>
  </si>
  <si>
    <t>Attractions*</t>
  </si>
  <si>
    <t>* Only applied to TAZs in same Zip Code</t>
  </si>
  <si>
    <t>Mean</t>
  </si>
  <si>
    <t xml:space="preserve"> </t>
  </si>
  <si>
    <t>Rochester</t>
  </si>
  <si>
    <t>SMTC Original Cross-Class - Old Model</t>
  </si>
  <si>
    <t>HHSize</t>
  </si>
  <si>
    <t>Node Type Value</t>
  </si>
  <si>
    <t>Equation</t>
  </si>
  <si>
    <t>1-28; 70-86</t>
  </si>
  <si>
    <t>(See Lookup Table)</t>
  </si>
  <si>
    <t>41 - 43</t>
  </si>
  <si>
    <t>Tollbooth</t>
  </si>
  <si>
    <t>By Equation</t>
  </si>
  <si>
    <t>[(1,400* # E-Z Pass Lanes) + (360* # Cash Lanes)]</t>
  </si>
  <si>
    <t>Camillus</t>
  </si>
  <si>
    <t>Cicero</t>
  </si>
  <si>
    <t>Clay</t>
  </si>
  <si>
    <t>Dewitt</t>
  </si>
  <si>
    <t>Elbridge</t>
  </si>
  <si>
    <t>Fabius</t>
  </si>
  <si>
    <t>Geddes</t>
  </si>
  <si>
    <t>Hastings</t>
  </si>
  <si>
    <t>Lafayette</t>
  </si>
  <si>
    <t>Lysander</t>
  </si>
  <si>
    <t>Manlius</t>
  </si>
  <si>
    <t>Marcellus</t>
  </si>
  <si>
    <t>Onondaga</t>
  </si>
  <si>
    <t>Onondaga Nation</t>
  </si>
  <si>
    <t>Otisco</t>
  </si>
  <si>
    <t>Pompey</t>
  </si>
  <si>
    <t>Salina</t>
  </si>
  <si>
    <t>Schroeppel</t>
  </si>
  <si>
    <t>Skaneateles</t>
  </si>
  <si>
    <t>Spafford</t>
  </si>
  <si>
    <t>Sullivan</t>
  </si>
  <si>
    <t>Tully</t>
  </si>
  <si>
    <t>Van Buren</t>
  </si>
  <si>
    <t>West Monroe</t>
  </si>
  <si>
    <t>Madison</t>
  </si>
  <si>
    <t>Oswego</t>
  </si>
  <si>
    <t>Total</t>
  </si>
  <si>
    <t>Employment</t>
  </si>
  <si>
    <t>Change</t>
  </si>
  <si>
    <t>% Change</t>
  </si>
  <si>
    <t>V/C</t>
  </si>
  <si>
    <t>TotalCycle</t>
  </si>
  <si>
    <t>Intergreen</t>
  </si>
  <si>
    <t>Phases</t>
  </si>
  <si>
    <t>TotalGreenTime</t>
  </si>
  <si>
    <t>LeftTurnsMinor</t>
  </si>
  <si>
    <t>StrRightMinor</t>
  </si>
  <si>
    <t>LeftTurnsMajor</t>
  </si>
  <si>
    <t>StrRightMajor</t>
  </si>
  <si>
    <t>SMinorRight</t>
  </si>
  <si>
    <t>SMinorStr</t>
  </si>
  <si>
    <t>SMinorLeft</t>
  </si>
  <si>
    <t>SMajorRight</t>
  </si>
  <si>
    <t>SMajorStr</t>
  </si>
  <si>
    <t>SMajorLeft</t>
  </si>
  <si>
    <t>CMinorRight</t>
  </si>
  <si>
    <t>CMinorStr</t>
  </si>
  <si>
    <t>CMinorLeft</t>
  </si>
  <si>
    <t>CMajorRight</t>
  </si>
  <si>
    <t>CMajorStr</t>
  </si>
  <si>
    <t>CMajorLeft</t>
  </si>
  <si>
    <t>VMinorRight</t>
  </si>
  <si>
    <t>VMinorStr</t>
  </si>
  <si>
    <t>VMinorLeft</t>
  </si>
  <si>
    <t>VMajorRight</t>
  </si>
  <si>
    <t>VMajorStr</t>
  </si>
  <si>
    <t>VMajorLeft</t>
  </si>
  <si>
    <t>%MinorRight</t>
  </si>
  <si>
    <t>%MinorStr</t>
  </si>
  <si>
    <t>%MinorLeft</t>
  </si>
  <si>
    <t>%MajorRight</t>
  </si>
  <si>
    <t>%MajorStr</t>
  </si>
  <si>
    <t>%MajorLeft</t>
  </si>
  <si>
    <t>%Direction</t>
  </si>
  <si>
    <t>%Minor</t>
  </si>
  <si>
    <t>%Major</t>
  </si>
  <si>
    <t>MinorRight</t>
  </si>
  <si>
    <t>MinorStr</t>
  </si>
  <si>
    <t>MinorLeft</t>
  </si>
  <si>
    <t>MajorRight</t>
  </si>
  <si>
    <t>MajorStr</t>
  </si>
  <si>
    <t>MajorLeft</t>
  </si>
  <si>
    <t>Hourly capacity</t>
  </si>
  <si>
    <t>Daily capacity</t>
  </si>
  <si>
    <t>Intergreen/phase</t>
  </si>
  <si>
    <t>Total green time</t>
  </si>
  <si>
    <t>Left Turns Minor</t>
  </si>
  <si>
    <t>Straight/Right Minor</t>
  </si>
  <si>
    <t>Left Turns Major</t>
  </si>
  <si>
    <t>Straight/Right Major</t>
  </si>
  <si>
    <t>Phasing time requirements</t>
  </si>
  <si>
    <t>Seconds per vehicle</t>
  </si>
  <si>
    <t>Right</t>
  </si>
  <si>
    <t>Straight</t>
  </si>
  <si>
    <t>Left</t>
  </si>
  <si>
    <t>Time required per movement per cycle</t>
  </si>
  <si>
    <t>Cycles/hr</t>
  </si>
  <si>
    <t>Cycle time</t>
  </si>
  <si>
    <t>Flow per cycle</t>
  </si>
  <si>
    <t>Minor</t>
  </si>
  <si>
    <t>Major</t>
  </si>
  <si>
    <t>Flow per hour per movement</t>
  </si>
  <si>
    <t>Volume</t>
  </si>
  <si>
    <t>% Direction</t>
  </si>
  <si>
    <t>% Volume</t>
  </si>
  <si>
    <t>Turning movements</t>
  </si>
  <si>
    <t>One through/right lane + left turn bays in each direction</t>
  </si>
  <si>
    <t>(86)
72,000</t>
  </si>
  <si>
    <t>(85)
68,000</t>
  </si>
  <si>
    <t>(84)
56,000</t>
  </si>
  <si>
    <t>(83)
52,000</t>
  </si>
  <si>
    <t>(82)
66,000</t>
  </si>
  <si>
    <t>(81)
62,000</t>
  </si>
  <si>
    <t>(80)
58,000</t>
  </si>
  <si>
    <t>(79)
54,000</t>
  </si>
  <si>
    <t>(78)
50,000</t>
  </si>
  <si>
    <t>Left, Right and Three Through</t>
  </si>
  <si>
    <t>(77)
66,000</t>
  </si>
  <si>
    <t>(76)
54,000</t>
  </si>
  <si>
    <t>(75)
50,000</t>
  </si>
  <si>
    <t>(74)
64,000</t>
  </si>
  <si>
    <t>(73)
60,000</t>
  </si>
  <si>
    <t>(72)
56,000</t>
  </si>
  <si>
    <t>(71)
52,000</t>
  </si>
  <si>
    <t>(70)
48,000</t>
  </si>
  <si>
    <t>Left &amp; 3 Through</t>
  </si>
  <si>
    <t>(28)
40,000</t>
  </si>
  <si>
    <t>(27)
38,000</t>
  </si>
  <si>
    <t>(26)
46,000</t>
  </si>
  <si>
    <t>(24)
40,000</t>
  </si>
  <si>
    <t>(23)
36,000</t>
  </si>
  <si>
    <t>(22)
32,000</t>
  </si>
  <si>
    <t>3 Throughs</t>
  </si>
  <si>
    <t>(21)
35,000</t>
  </si>
  <si>
    <t>(20)
43,000</t>
  </si>
  <si>
    <t>(19)
39,000</t>
  </si>
  <si>
    <t>(18)
37,000</t>
  </si>
  <si>
    <t>(17)
33,000</t>
  </si>
  <si>
    <t>(16)
29,000</t>
  </si>
  <si>
    <t>2 Throughs</t>
  </si>
  <si>
    <t>(15)
62,000</t>
  </si>
  <si>
    <t>(14)
58,000</t>
  </si>
  <si>
    <t>(13)
54,000</t>
  </si>
  <si>
    <t>(12)
50,000</t>
  </si>
  <si>
    <t>(11)
46,000</t>
  </si>
  <si>
    <t>Left, Right &amp; 2 Throughs</t>
  </si>
  <si>
    <t>(10)
53,000</t>
  </si>
  <si>
    <t>(9)
49,000</t>
  </si>
  <si>
    <t>(8)
44,000</t>
  </si>
  <si>
    <t>(7)
40,000</t>
  </si>
  <si>
    <t>Left &amp; 2 Through</t>
  </si>
  <si>
    <t>(6)
38,000</t>
  </si>
  <si>
    <t>(5)
36,000</t>
  </si>
  <si>
    <t>(4)
31,000</t>
  </si>
  <si>
    <t>Left &amp; Right Turn Bays</t>
  </si>
  <si>
    <t>(3)
33,000</t>
  </si>
  <si>
    <t>(2)
28,000</t>
  </si>
  <si>
    <t>Left Turn Bays</t>
  </si>
  <si>
    <t>(1)
23,000</t>
  </si>
  <si>
    <t>Single</t>
  </si>
  <si>
    <t>Left, Right &amp; 2 Through</t>
  </si>
  <si>
    <t>Major Lane Group</t>
  </si>
  <si>
    <t>Minor Lane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</si>
</sst>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0.00000000000"/>
    <numFmt numFmtId="166" formatCode="0.0000"/>
    <numFmt numFmtId="167" formatCode="0.0"/>
    <numFmt numFmtId="168" formatCode="_(* #,##0_);_(* \(#,##0\);_(* &quot;-&quot;??_);_(@_)"/>
    <numFmt numFmtId="169" formatCode="0.0%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theme="1" tint="4.9989318521683403E-2"/>
      </left>
      <right/>
      <top/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/>
    <xf numFmtId="49" fontId="24" fillId="14" borderId="11" applyFont="0" applyBorder="0" applyAlignment="0">
      <alignment horizontal="center" vertical="center" wrapText="1"/>
    </xf>
    <xf numFmtId="49" fontId="22" fillId="15" borderId="10" applyFont="0" applyBorder="0" applyAlignment="0">
      <alignment horizontal="center" vertical="center" wrapText="1"/>
    </xf>
  </cellStyleXfs>
  <cellXfs count="343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5" xfId="0" applyFill="1" applyBorder="1"/>
    <xf numFmtId="2" fontId="0" fillId="2" borderId="0" xfId="0" applyNumberFormat="1" applyFill="1"/>
    <xf numFmtId="0" fontId="2" fillId="3" borderId="9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" fontId="0" fillId="3" borderId="9" xfId="0" applyNumberFormat="1" applyFill="1" applyBorder="1"/>
    <xf numFmtId="1" fontId="0" fillId="3" borderId="9" xfId="0" applyNumberFormat="1" applyFill="1" applyBorder="1" applyAlignment="1">
      <alignment horizontal="center"/>
    </xf>
    <xf numFmtId="0" fontId="1" fillId="2" borderId="0" xfId="0" applyFont="1" applyFill="1"/>
    <xf numFmtId="2" fontId="0" fillId="3" borderId="9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1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0" fontId="2" fillId="3" borderId="13" xfId="0" applyFont="1" applyFill="1" applyBorder="1"/>
    <xf numFmtId="0" fontId="0" fillId="3" borderId="1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64" fontId="0" fillId="2" borderId="4" xfId="0" applyNumberFormat="1" applyFill="1" applyBorder="1"/>
    <xf numFmtId="0" fontId="2" fillId="3" borderId="14" xfId="0" applyFont="1" applyFill="1" applyBorder="1" applyAlignment="1">
      <alignment horizontal="left"/>
    </xf>
    <xf numFmtId="0" fontId="0" fillId="2" borderId="4" xfId="0" applyFill="1" applyBorder="1"/>
    <xf numFmtId="0" fontId="0" fillId="2" borderId="6" xfId="0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3" borderId="13" xfId="0" applyNumberFormat="1" applyFill="1" applyBorder="1"/>
    <xf numFmtId="1" fontId="0" fillId="3" borderId="14" xfId="0" applyNumberFormat="1" applyFill="1" applyBorder="1"/>
    <xf numFmtId="1" fontId="0" fillId="2" borderId="0" xfId="0" applyNumberFormat="1" applyFill="1" applyBorder="1"/>
    <xf numFmtId="1" fontId="0" fillId="2" borderId="5" xfId="0" applyNumberFormat="1" applyFill="1" applyBorder="1"/>
    <xf numFmtId="1" fontId="0" fillId="2" borderId="6" xfId="0" applyNumberFormat="1" applyFill="1" applyBorder="1"/>
    <xf numFmtId="1" fontId="0" fillId="2" borderId="7" xfId="0" applyNumberFormat="1" applyFill="1" applyBorder="1"/>
    <xf numFmtId="1" fontId="0" fillId="2" borderId="8" xfId="0" applyNumberFormat="1" applyFill="1" applyBorder="1"/>
    <xf numFmtId="1" fontId="0" fillId="3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4" xfId="0" applyNumberFormat="1" applyFill="1" applyBorder="1" applyAlignment="1"/>
    <xf numFmtId="1" fontId="0" fillId="2" borderId="6" xfId="0" applyNumberFormat="1" applyFill="1" applyBorder="1" applyAlignment="1"/>
    <xf numFmtId="2" fontId="0" fillId="2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/>
    <xf numFmtId="0" fontId="4" fillId="2" borderId="0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/>
    </xf>
    <xf numFmtId="167" fontId="5" fillId="2" borderId="2" xfId="0" applyNumberFormat="1" applyFont="1" applyFill="1" applyBorder="1" applyAlignment="1">
      <alignment horizontal="center"/>
    </xf>
    <xf numFmtId="167" fontId="5" fillId="2" borderId="3" xfId="0" applyNumberFormat="1" applyFont="1" applyFill="1" applyBorder="1" applyAlignment="1">
      <alignment horizontal="center"/>
    </xf>
    <xf numFmtId="167" fontId="5" fillId="2" borderId="4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5" xfId="0" applyNumberFormat="1" applyFont="1" applyFill="1" applyBorder="1" applyAlignment="1">
      <alignment horizontal="center"/>
    </xf>
    <xf numFmtId="167" fontId="5" fillId="2" borderId="6" xfId="0" applyNumberFormat="1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 horizontal="center"/>
    </xf>
    <xf numFmtId="167" fontId="5" fillId="2" borderId="8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ont="1" applyFill="1" applyBorder="1" applyAlignment="1">
      <alignment horizontal="center"/>
    </xf>
    <xf numFmtId="0" fontId="2" fillId="2" borderId="0" xfId="0" applyFont="1" applyFill="1" applyBorder="1"/>
    <xf numFmtId="0" fontId="6" fillId="2" borderId="0" xfId="0" applyFont="1" applyFill="1"/>
    <xf numFmtId="0" fontId="0" fillId="2" borderId="0" xfId="0" applyFont="1" applyFill="1"/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3" borderId="17" xfId="0" applyNumberFormat="1" applyFont="1" applyFill="1" applyBorder="1" applyAlignment="1">
      <alignment horizontal="center"/>
    </xf>
    <xf numFmtId="0" fontId="6" fillId="0" borderId="0" xfId="0" applyFont="1"/>
    <xf numFmtId="0" fontId="7" fillId="4" borderId="13" xfId="0" applyFont="1" applyFill="1" applyBorder="1"/>
    <xf numFmtId="0" fontId="0" fillId="4" borderId="9" xfId="0" applyFill="1" applyBorder="1"/>
    <xf numFmtId="0" fontId="0" fillId="4" borderId="14" xfId="0" applyFill="1" applyBorder="1"/>
    <xf numFmtId="0" fontId="0" fillId="0" borderId="0" xfId="0" applyFill="1" applyBorder="1"/>
    <xf numFmtId="0" fontId="0" fillId="2" borderId="5" xfId="0" applyFill="1" applyBorder="1"/>
    <xf numFmtId="0" fontId="0" fillId="6" borderId="0" xfId="0" applyFill="1" applyBorder="1"/>
    <xf numFmtId="0" fontId="0" fillId="6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9" xfId="0" applyFont="1" applyFill="1" applyBorder="1"/>
    <xf numFmtId="0" fontId="2" fillId="3" borderId="14" xfId="0" applyFont="1" applyFill="1" applyBorder="1"/>
    <xf numFmtId="0" fontId="4" fillId="2" borderId="0" xfId="0" applyFont="1" applyFill="1" applyBorder="1" applyAlignment="1">
      <alignment horizontal="center" vertical="center"/>
    </xf>
    <xf numFmtId="165" fontId="0" fillId="2" borderId="0" xfId="0" applyNumberFormat="1" applyFill="1" applyBorder="1"/>
    <xf numFmtId="0" fontId="0" fillId="3" borderId="9" xfId="0" applyFill="1" applyBorder="1"/>
    <xf numFmtId="0" fontId="2" fillId="3" borderId="3" xfId="0" applyFont="1" applyFill="1" applyBorder="1"/>
    <xf numFmtId="0" fontId="2" fillId="3" borderId="13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2" borderId="4" xfId="0" applyFont="1" applyFill="1" applyBorder="1" applyAlignment="1">
      <alignment horizontal="justify" wrapText="1"/>
    </xf>
    <xf numFmtId="0" fontId="0" fillId="2" borderId="0" xfId="0" applyFont="1" applyFill="1" applyBorder="1" applyAlignment="1">
      <alignment horizontal="justify"/>
    </xf>
    <xf numFmtId="0" fontId="2" fillId="2" borderId="4" xfId="0" applyFont="1" applyFill="1" applyBorder="1" applyAlignment="1">
      <alignment horizontal="justify" wrapText="1"/>
    </xf>
    <xf numFmtId="0" fontId="2" fillId="2" borderId="0" xfId="0" applyFont="1" applyFill="1" applyBorder="1" applyAlignment="1">
      <alignment horizontal="justify"/>
    </xf>
    <xf numFmtId="0" fontId="0" fillId="2" borderId="7" xfId="0" applyFont="1" applyFill="1" applyBorder="1" applyAlignment="1">
      <alignment horizontal="justify"/>
    </xf>
    <xf numFmtId="0" fontId="0" fillId="2" borderId="6" xfId="0" applyFill="1" applyBorder="1" applyAlignment="1">
      <alignment horizontal="justify" wrapText="1"/>
    </xf>
    <xf numFmtId="0" fontId="8" fillId="8" borderId="4" xfId="0" applyFont="1" applyFill="1" applyBorder="1" applyAlignment="1">
      <alignment horizontal="justify" wrapText="1"/>
    </xf>
    <xf numFmtId="0" fontId="8" fillId="8" borderId="5" xfId="0" applyFont="1" applyFill="1" applyBorder="1" applyAlignment="1">
      <alignment horizontal="justify"/>
    </xf>
    <xf numFmtId="0" fontId="8" fillId="8" borderId="4" xfId="0" applyFont="1" applyFill="1" applyBorder="1" applyAlignment="1">
      <alignment wrapText="1"/>
    </xf>
    <xf numFmtId="0" fontId="8" fillId="8" borderId="5" xfId="0" applyFont="1" applyFill="1" applyBorder="1"/>
    <xf numFmtId="0" fontId="8" fillId="8" borderId="6" xfId="0" applyFont="1" applyFill="1" applyBorder="1" applyAlignment="1">
      <alignment horizontal="justify" wrapText="1"/>
    </xf>
    <xf numFmtId="0" fontId="8" fillId="8" borderId="8" xfId="0" applyFont="1" applyFill="1" applyBorder="1" applyAlignment="1">
      <alignment horizontal="justify"/>
    </xf>
    <xf numFmtId="0" fontId="8" fillId="7" borderId="0" xfId="0" applyFont="1" applyFill="1" applyBorder="1" applyAlignment="1">
      <alignment horizontal="justify"/>
    </xf>
    <xf numFmtId="0" fontId="8" fillId="8" borderId="0" xfId="0" applyFont="1" applyFill="1" applyBorder="1" applyAlignment="1">
      <alignment horizontal="justify"/>
    </xf>
    <xf numFmtId="0" fontId="8" fillId="8" borderId="0" xfId="0" applyFont="1" applyFill="1" applyBorder="1"/>
    <xf numFmtId="0" fontId="8" fillId="7" borderId="1" xfId="0" applyFont="1" applyFill="1" applyBorder="1" applyAlignment="1">
      <alignment horizontal="justify" wrapText="1"/>
    </xf>
    <xf numFmtId="0" fontId="8" fillId="7" borderId="3" xfId="0" applyFont="1" applyFill="1" applyBorder="1" applyAlignment="1">
      <alignment horizontal="justify"/>
    </xf>
    <xf numFmtId="0" fontId="8" fillId="8" borderId="1" xfId="0" applyFont="1" applyFill="1" applyBorder="1" applyAlignment="1">
      <alignment horizontal="justify" wrapText="1"/>
    </xf>
    <xf numFmtId="0" fontId="8" fillId="8" borderId="3" xfId="0" applyFont="1" applyFill="1" applyBorder="1" applyAlignment="1">
      <alignment horizontal="justify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11" fillId="2" borderId="0" xfId="0" applyFont="1" applyFill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3" fontId="13" fillId="0" borderId="0" xfId="0" applyNumberFormat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168" fontId="13" fillId="0" borderId="0" xfId="1" applyNumberFormat="1" applyFont="1" applyFill="1" applyAlignment="1">
      <alignment horizontal="center" vertical="center"/>
    </xf>
    <xf numFmtId="168" fontId="13" fillId="0" borderId="0" xfId="1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3" fontId="13" fillId="0" borderId="0" xfId="1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center" vertical="center"/>
    </xf>
    <xf numFmtId="3" fontId="13" fillId="0" borderId="0" xfId="1" applyNumberFormat="1" applyFont="1" applyFill="1" applyAlignment="1">
      <alignment horizontal="center" vertical="center"/>
    </xf>
    <xf numFmtId="43" fontId="13" fillId="0" borderId="0" xfId="0" applyNumberFormat="1" applyFont="1" applyFill="1" applyAlignment="1">
      <alignment horizontal="center" vertical="center"/>
    </xf>
    <xf numFmtId="168" fontId="13" fillId="0" borderId="0" xfId="0" applyNumberFormat="1" applyFont="1" applyFill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/>
    </xf>
    <xf numFmtId="168" fontId="13" fillId="10" borderId="0" xfId="1" applyNumberFormat="1" applyFont="1" applyFill="1" applyAlignment="1">
      <alignment horizontal="center" vertical="center"/>
    </xf>
    <xf numFmtId="3" fontId="13" fillId="0" borderId="0" xfId="1" applyNumberFormat="1" applyFont="1" applyAlignment="1">
      <alignment horizontal="center"/>
    </xf>
    <xf numFmtId="0" fontId="13" fillId="11" borderId="0" xfId="0" applyFont="1" applyFill="1" applyAlignment="1">
      <alignment horizontal="left" vertical="center"/>
    </xf>
    <xf numFmtId="3" fontId="13" fillId="0" borderId="0" xfId="1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68" fontId="13" fillId="0" borderId="0" xfId="1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168" fontId="13" fillId="0" borderId="0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3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168" fontId="13" fillId="0" borderId="0" xfId="1" applyNumberFormat="1" applyFont="1" applyFill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9" fontId="13" fillId="0" borderId="0" xfId="2" applyFont="1" applyAlignment="1">
      <alignment horizontal="center"/>
    </xf>
    <xf numFmtId="1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168" fontId="14" fillId="0" borderId="0" xfId="1" applyNumberFormat="1" applyFont="1" applyAlignment="1">
      <alignment horizontal="center" vertical="center"/>
    </xf>
    <xf numFmtId="168" fontId="15" fillId="0" borderId="0" xfId="1" applyNumberFormat="1" applyFont="1" applyFill="1" applyAlignment="1">
      <alignment horizontal="center" vertical="center"/>
    </xf>
    <xf numFmtId="168" fontId="14" fillId="0" borderId="0" xfId="1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1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68" fontId="15" fillId="0" borderId="0" xfId="0" applyNumberFormat="1" applyFont="1" applyFill="1" applyAlignment="1">
      <alignment horizontal="center" vertical="center"/>
    </xf>
    <xf numFmtId="0" fontId="16" fillId="0" borderId="20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16" fillId="0" borderId="20" xfId="0" applyFont="1" applyBorder="1" applyAlignment="1">
      <alignment horizontal="left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13" fillId="0" borderId="21" xfId="0" applyFont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21" xfId="1" applyNumberFormat="1" applyFont="1" applyBorder="1" applyAlignment="1">
      <alignment horizontal="center" vertical="center"/>
    </xf>
    <xf numFmtId="168" fontId="13" fillId="0" borderId="21" xfId="1" applyNumberFormat="1" applyFont="1" applyFill="1" applyBorder="1" applyAlignment="1">
      <alignment horizontal="center" vertical="center"/>
    </xf>
    <xf numFmtId="168" fontId="13" fillId="0" borderId="21" xfId="1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8" fontId="13" fillId="9" borderId="21" xfId="1" applyNumberFormat="1" applyFont="1" applyFill="1" applyBorder="1" applyAlignment="1">
      <alignment horizontal="center" vertical="center"/>
    </xf>
    <xf numFmtId="168" fontId="14" fillId="0" borderId="21" xfId="1" applyNumberFormat="1" applyFont="1" applyBorder="1" applyAlignment="1">
      <alignment horizontal="center" vertical="center"/>
    </xf>
    <xf numFmtId="0" fontId="13" fillId="12" borderId="0" xfId="0" applyFont="1" applyFill="1" applyAlignment="1">
      <alignment horizontal="left" vertical="center" indent="1"/>
    </xf>
    <xf numFmtId="0" fontId="13" fillId="12" borderId="0" xfId="0" applyFont="1" applyFill="1" applyAlignment="1">
      <alignment horizontal="left" vertical="center"/>
    </xf>
    <xf numFmtId="3" fontId="13" fillId="12" borderId="0" xfId="0" applyNumberFormat="1" applyFont="1" applyFill="1" applyAlignment="1">
      <alignment horizontal="center" vertical="center"/>
    </xf>
    <xf numFmtId="3" fontId="13" fillId="12" borderId="0" xfId="1" applyNumberFormat="1" applyFont="1" applyFill="1" applyBorder="1" applyAlignment="1">
      <alignment horizontal="center"/>
    </xf>
    <xf numFmtId="0" fontId="13" fillId="12" borderId="0" xfId="0" applyFont="1" applyFill="1" applyAlignment="1">
      <alignment horizontal="center" vertical="center"/>
    </xf>
    <xf numFmtId="168" fontId="13" fillId="12" borderId="0" xfId="1" applyNumberFormat="1" applyFont="1" applyFill="1" applyAlignment="1">
      <alignment horizontal="center" vertical="center"/>
    </xf>
    <xf numFmtId="168" fontId="14" fillId="12" borderId="0" xfId="1" applyNumberFormat="1" applyFont="1" applyFill="1" applyAlignment="1">
      <alignment horizontal="center" vertical="center"/>
    </xf>
    <xf numFmtId="3" fontId="13" fillId="12" borderId="0" xfId="1" applyNumberFormat="1" applyFont="1" applyFill="1" applyAlignment="1">
      <alignment horizontal="center" vertical="center"/>
    </xf>
    <xf numFmtId="0" fontId="13" fillId="12" borderId="0" xfId="0" applyFont="1" applyFill="1" applyBorder="1" applyAlignment="1">
      <alignment horizontal="right" vertical="center" indent="1"/>
    </xf>
    <xf numFmtId="0" fontId="13" fillId="12" borderId="0" xfId="0" applyFont="1" applyFill="1" applyAlignment="1">
      <alignment horizontal="right" vertical="center" indent="1"/>
    </xf>
    <xf numFmtId="0" fontId="13" fillId="0" borderId="0" xfId="0" applyFont="1" applyAlignment="1">
      <alignment horizontal="left" vertical="center" wrapText="1" indent="1"/>
    </xf>
    <xf numFmtId="3" fontId="13" fillId="0" borderId="0" xfId="0" applyNumberFormat="1" applyFont="1" applyAlignment="1">
      <alignment horizontal="right" indent="1"/>
    </xf>
    <xf numFmtId="3" fontId="13" fillId="0" borderId="0" xfId="0" applyNumberFormat="1" applyFont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right" indent="1"/>
    </xf>
    <xf numFmtId="0" fontId="13" fillId="12" borderId="0" xfId="0" applyFont="1" applyFill="1" applyBorder="1" applyAlignment="1">
      <alignment horizontal="left" vertical="center" indent="1"/>
    </xf>
    <xf numFmtId="0" fontId="13" fillId="0" borderId="22" xfId="0" applyFont="1" applyBorder="1" applyAlignment="1">
      <alignment horizontal="left" vertical="center" indent="1"/>
    </xf>
    <xf numFmtId="3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indent="1"/>
    </xf>
    <xf numFmtId="0" fontId="0" fillId="0" borderId="23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69" fontId="13" fillId="0" borderId="0" xfId="0" applyNumberFormat="1" applyFont="1" applyBorder="1" applyAlignment="1">
      <alignment horizontal="right" indent="1"/>
    </xf>
    <xf numFmtId="169" fontId="0" fillId="0" borderId="24" xfId="0" applyNumberFormat="1" applyBorder="1" applyAlignment="1">
      <alignment horizontal="right" indent="1"/>
    </xf>
    <xf numFmtId="0" fontId="0" fillId="0" borderId="25" xfId="0" applyFont="1" applyFill="1" applyBorder="1" applyAlignment="1">
      <alignment horizontal="left" indent="1"/>
    </xf>
    <xf numFmtId="0" fontId="0" fillId="0" borderId="26" xfId="0" applyFont="1" applyFill="1" applyBorder="1" applyAlignment="1">
      <alignment horizontal="left" indent="1"/>
    </xf>
    <xf numFmtId="169" fontId="13" fillId="0" borderId="26" xfId="0" applyNumberFormat="1" applyFont="1" applyBorder="1" applyAlignment="1">
      <alignment horizontal="right" indent="1"/>
    </xf>
    <xf numFmtId="169" fontId="0" fillId="0" borderId="27" xfId="0" applyNumberFormat="1" applyBorder="1" applyAlignment="1">
      <alignment horizontal="right" indent="1"/>
    </xf>
    <xf numFmtId="0" fontId="2" fillId="12" borderId="28" xfId="0" applyFont="1" applyFill="1" applyBorder="1" applyAlignment="1">
      <alignment horizontal="left" indent="1"/>
    </xf>
    <xf numFmtId="0" fontId="2" fillId="12" borderId="29" xfId="0" applyFont="1" applyFill="1" applyBorder="1" applyAlignment="1">
      <alignment horizontal="left" indent="1"/>
    </xf>
    <xf numFmtId="0" fontId="2" fillId="12" borderId="29" xfId="0" applyFont="1" applyFill="1" applyBorder="1" applyAlignment="1">
      <alignment horizontal="right" indent="1"/>
    </xf>
    <xf numFmtId="0" fontId="2" fillId="12" borderId="30" xfId="0" applyFont="1" applyFill="1" applyBorder="1" applyAlignment="1">
      <alignment horizontal="right" indent="1"/>
    </xf>
    <xf numFmtId="0" fontId="19" fillId="13" borderId="31" xfId="0" applyFont="1" applyFill="1" applyBorder="1" applyAlignment="1">
      <alignment wrapText="1"/>
    </xf>
    <xf numFmtId="0" fontId="19" fillId="13" borderId="32" xfId="0" applyFont="1" applyFill="1" applyBorder="1" applyAlignment="1">
      <alignment wrapText="1"/>
    </xf>
    <xf numFmtId="0" fontId="19" fillId="13" borderId="33" xfId="0" applyFont="1" applyFill="1" applyBorder="1" applyAlignment="1">
      <alignment horizontal="center" wrapText="1"/>
    </xf>
    <xf numFmtId="0" fontId="19" fillId="13" borderId="34" xfId="0" applyFont="1" applyFill="1" applyBorder="1" applyAlignment="1">
      <alignment horizontal="center" wrapText="1"/>
    </xf>
    <xf numFmtId="0" fontId="19" fillId="13" borderId="35" xfId="0" applyFont="1" applyFill="1" applyBorder="1" applyAlignment="1">
      <alignment wrapText="1"/>
    </xf>
    <xf numFmtId="0" fontId="19" fillId="13" borderId="36" xfId="0" applyFont="1" applyFill="1" applyBorder="1" applyAlignment="1">
      <alignment wrapText="1"/>
    </xf>
    <xf numFmtId="0" fontId="19" fillId="13" borderId="37" xfId="0" applyFont="1" applyFill="1" applyBorder="1" applyAlignment="1">
      <alignment wrapText="1"/>
    </xf>
    <xf numFmtId="0" fontId="19" fillId="13" borderId="37" xfId="0" applyFont="1" applyFill="1" applyBorder="1" applyAlignment="1">
      <alignment horizontal="center" wrapText="1"/>
    </xf>
    <xf numFmtId="0" fontId="19" fillId="13" borderId="36" xfId="0" applyFont="1" applyFill="1" applyBorder="1" applyAlignment="1">
      <alignment horizontal="center" wrapText="1"/>
    </xf>
    <xf numFmtId="0" fontId="19" fillId="13" borderId="38" xfId="0" applyFont="1" applyFill="1" applyBorder="1" applyAlignment="1">
      <alignment vertical="top" wrapText="1"/>
    </xf>
    <xf numFmtId="0" fontId="19" fillId="13" borderId="39" xfId="0" applyFont="1" applyFill="1" applyBorder="1" applyAlignment="1">
      <alignment vertical="top" wrapText="1"/>
    </xf>
    <xf numFmtId="0" fontId="19" fillId="13" borderId="40" xfId="0" applyFont="1" applyFill="1" applyBorder="1" applyAlignment="1">
      <alignment horizontal="right" wrapText="1"/>
    </xf>
    <xf numFmtId="0" fontId="19" fillId="13" borderId="39" xfId="0" applyFont="1" applyFill="1" applyBorder="1" applyAlignment="1">
      <alignment horizontal="right" wrapText="1"/>
    </xf>
    <xf numFmtId="0" fontId="19" fillId="13" borderId="35" xfId="0" applyFont="1" applyFill="1" applyBorder="1" applyAlignment="1">
      <alignment vertical="top" wrapText="1"/>
    </xf>
    <xf numFmtId="0" fontId="19" fillId="13" borderId="36" xfId="0" applyFont="1" applyFill="1" applyBorder="1" applyAlignment="1">
      <alignment vertical="top" wrapText="1"/>
    </xf>
    <xf numFmtId="0" fontId="19" fillId="13" borderId="37" xfId="0" applyFont="1" applyFill="1" applyBorder="1" applyAlignment="1">
      <alignment horizontal="right" wrapText="1"/>
    </xf>
    <xf numFmtId="0" fontId="19" fillId="13" borderId="36" xfId="0" applyFont="1" applyFill="1" applyBorder="1" applyAlignment="1">
      <alignment horizontal="right" wrapText="1"/>
    </xf>
    <xf numFmtId="169" fontId="0" fillId="0" borderId="7" xfId="0" applyNumberFormat="1" applyBorder="1" applyAlignment="1">
      <alignment horizontal="right" indent="1"/>
    </xf>
    <xf numFmtId="169" fontId="0" fillId="0" borderId="0" xfId="0" applyNumberFormat="1" applyBorder="1" applyAlignment="1">
      <alignment horizontal="right" indent="1"/>
    </xf>
    <xf numFmtId="169" fontId="0" fillId="0" borderId="42" xfId="0" applyNumberFormat="1" applyBorder="1" applyAlignment="1">
      <alignment horizontal="right" indent="1"/>
    </xf>
    <xf numFmtId="0" fontId="0" fillId="0" borderId="23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2" borderId="4" xfId="0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justify" wrapText="1"/>
    </xf>
    <xf numFmtId="0" fontId="20" fillId="3" borderId="9" xfId="0" applyFont="1" applyFill="1" applyBorder="1" applyAlignment="1">
      <alignment horizontal="justify"/>
    </xf>
    <xf numFmtId="0" fontId="20" fillId="3" borderId="14" xfId="0" applyFont="1" applyFill="1" applyBorder="1" applyAlignment="1">
      <alignment horizontal="justify"/>
    </xf>
    <xf numFmtId="0" fontId="21" fillId="7" borderId="1" xfId="0" applyFont="1" applyFill="1" applyBorder="1" applyAlignment="1">
      <alignment horizontal="left" indent="1"/>
    </xf>
    <xf numFmtId="0" fontId="13" fillId="0" borderId="4" xfId="0" applyFont="1" applyBorder="1"/>
    <xf numFmtId="0" fontId="13" fillId="0" borderId="0" xfId="0" applyFont="1" applyBorder="1"/>
    <xf numFmtId="3" fontId="13" fillId="0" borderId="0" xfId="0" applyNumberFormat="1" applyFont="1" applyBorder="1"/>
    <xf numFmtId="9" fontId="13" fillId="0" borderId="5" xfId="0" applyNumberFormat="1" applyFont="1" applyBorder="1"/>
    <xf numFmtId="0" fontId="13" fillId="0" borderId="6" xfId="0" applyFont="1" applyBorder="1"/>
    <xf numFmtId="0" fontId="13" fillId="0" borderId="7" xfId="0" applyFont="1" applyBorder="1"/>
    <xf numFmtId="3" fontId="13" fillId="0" borderId="7" xfId="0" applyNumberFormat="1" applyFont="1" applyBorder="1"/>
    <xf numFmtId="9" fontId="13" fillId="0" borderId="8" xfId="0" applyNumberFormat="1" applyFont="1" applyBorder="1"/>
    <xf numFmtId="0" fontId="21" fillId="7" borderId="4" xfId="0" applyFont="1" applyFill="1" applyBorder="1" applyAlignment="1">
      <alignment horizontal="left" indent="1"/>
    </xf>
    <xf numFmtId="0" fontId="21" fillId="7" borderId="0" xfId="0" applyFont="1" applyFill="1" applyBorder="1" applyAlignment="1">
      <alignment horizontal="right"/>
    </xf>
    <xf numFmtId="0" fontId="21" fillId="7" borderId="5" xfId="0" applyFont="1" applyFill="1" applyBorder="1" applyAlignment="1">
      <alignment horizontal="right"/>
    </xf>
    <xf numFmtId="0" fontId="13" fillId="0" borderId="1" xfId="0" applyFont="1" applyBorder="1"/>
    <xf numFmtId="0" fontId="13" fillId="0" borderId="2" xfId="0" applyFont="1" applyBorder="1"/>
    <xf numFmtId="3" fontId="13" fillId="0" borderId="2" xfId="0" applyNumberFormat="1" applyFont="1" applyBorder="1"/>
    <xf numFmtId="9" fontId="13" fillId="0" borderId="3" xfId="0" applyNumberFormat="1" applyFont="1" applyBorder="1"/>
    <xf numFmtId="0" fontId="21" fillId="7" borderId="2" xfId="0" applyFont="1" applyFill="1" applyBorder="1" applyAlignment="1">
      <alignment horizontal="left" indent="1"/>
    </xf>
    <xf numFmtId="0" fontId="21" fillId="7" borderId="0" xfId="0" applyFont="1" applyFill="1" applyBorder="1" applyAlignment="1">
      <alignment horizontal="left" indent="1"/>
    </xf>
    <xf numFmtId="0" fontId="21" fillId="7" borderId="4" xfId="0" applyFont="1" applyFill="1" applyBorder="1" applyAlignment="1">
      <alignment horizontal="right"/>
    </xf>
    <xf numFmtId="3" fontId="13" fillId="0" borderId="1" xfId="0" applyNumberFormat="1" applyFont="1" applyBorder="1"/>
    <xf numFmtId="3" fontId="13" fillId="0" borderId="4" xfId="0" applyNumberFormat="1" applyFont="1" applyBorder="1"/>
    <xf numFmtId="3" fontId="13" fillId="0" borderId="6" xfId="0" applyNumberFormat="1" applyFont="1" applyBorder="1"/>
    <xf numFmtId="0" fontId="23" fillId="0" borderId="0" xfId="3"/>
    <xf numFmtId="2" fontId="23" fillId="0" borderId="0" xfId="3" applyNumberFormat="1"/>
    <xf numFmtId="1" fontId="23" fillId="0" borderId="0" xfId="3" applyNumberFormat="1"/>
    <xf numFmtId="167" fontId="23" fillId="0" borderId="0" xfId="3" applyNumberFormat="1"/>
    <xf numFmtId="3" fontId="23" fillId="0" borderId="0" xfId="3" applyNumberFormat="1"/>
    <xf numFmtId="49" fontId="24" fillId="0" borderId="12" xfId="3" applyNumberFormat="1" applyFont="1" applyBorder="1" applyAlignment="1">
      <alignment horizontal="center" vertical="center" wrapText="1"/>
    </xf>
    <xf numFmtId="49" fontId="24" fillId="0" borderId="43" xfId="3" applyNumberFormat="1" applyFont="1" applyBorder="1" applyAlignment="1">
      <alignment horizontal="center" vertical="center" wrapText="1"/>
    </xf>
    <xf numFmtId="0" fontId="24" fillId="0" borderId="43" xfId="3" applyFont="1" applyBorder="1" applyAlignment="1">
      <alignment horizontal="center" vertical="center" wrapText="1"/>
    </xf>
    <xf numFmtId="0" fontId="23" fillId="0" borderId="10" xfId="3" applyBorder="1"/>
    <xf numFmtId="49" fontId="0" fillId="15" borderId="44" xfId="5" applyFont="1" applyBorder="1" applyAlignment="1"/>
    <xf numFmtId="0" fontId="23" fillId="0" borderId="45" xfId="3" applyBorder="1"/>
    <xf numFmtId="49" fontId="0" fillId="15" borderId="46" xfId="5" applyFont="1" applyBorder="1" applyAlignment="1"/>
    <xf numFmtId="49" fontId="24" fillId="0" borderId="11" xfId="3" applyNumberFormat="1" applyFont="1" applyBorder="1" applyAlignment="1">
      <alignment horizontal="center" vertical="center" wrapText="1"/>
    </xf>
    <xf numFmtId="0" fontId="24" fillId="0" borderId="47" xfId="3" applyFont="1" applyBorder="1" applyAlignment="1">
      <alignment horizontal="center" vertical="center" wrapText="1"/>
    </xf>
    <xf numFmtId="49" fontId="0" fillId="15" borderId="48" xfId="5" applyFont="1" applyBorder="1" applyAlignment="1"/>
    <xf numFmtId="49" fontId="0" fillId="15" borderId="49" xfId="5" applyFont="1" applyBorder="1" applyAlignment="1"/>
    <xf numFmtId="49" fontId="24" fillId="15" borderId="44" xfId="5" applyFont="1" applyBorder="1" applyAlignment="1">
      <alignment horizontal="center" vertical="center" wrapText="1"/>
    </xf>
    <xf numFmtId="49" fontId="24" fillId="0" borderId="0" xfId="3" applyNumberFormat="1" applyFont="1" applyBorder="1" applyAlignment="1">
      <alignment horizontal="center" vertical="center" wrapText="1"/>
    </xf>
    <xf numFmtId="49" fontId="24" fillId="0" borderId="47" xfId="3" applyNumberFormat="1" applyFont="1" applyBorder="1" applyAlignment="1">
      <alignment horizontal="center" vertical="center" wrapText="1"/>
    </xf>
    <xf numFmtId="49" fontId="24" fillId="15" borderId="46" xfId="5" applyFont="1" applyBorder="1" applyAlignment="1">
      <alignment horizontal="center" vertical="center" wrapText="1"/>
    </xf>
    <xf numFmtId="49" fontId="24" fillId="15" borderId="48" xfId="5" applyFont="1" applyBorder="1" applyAlignment="1">
      <alignment horizontal="center" vertical="center" wrapText="1"/>
    </xf>
    <xf numFmtId="49" fontId="22" fillId="15" borderId="44" xfId="5" applyFont="1" applyBorder="1" applyAlignment="1"/>
    <xf numFmtId="49" fontId="22" fillId="15" borderId="48" xfId="5" applyFont="1" applyBorder="1" applyAlignment="1"/>
    <xf numFmtId="49" fontId="22" fillId="15" borderId="48" xfId="5" applyFont="1" applyBorder="1" applyAlignment="1">
      <alignment horizontal="center" vertical="center" wrapText="1"/>
    </xf>
    <xf numFmtId="49" fontId="22" fillId="15" borderId="44" xfId="5" applyFont="1" applyBorder="1" applyAlignment="1">
      <alignment horizontal="center" vertical="center" wrapText="1"/>
    </xf>
    <xf numFmtId="49" fontId="22" fillId="15" borderId="46" xfId="5" applyFont="1" applyBorder="1" applyAlignment="1">
      <alignment horizontal="center" vertical="center" wrapText="1"/>
    </xf>
    <xf numFmtId="49" fontId="24" fillId="0" borderId="50" xfId="3" applyNumberFormat="1" applyFont="1" applyBorder="1" applyAlignment="1">
      <alignment horizontal="center" vertical="center" wrapText="1"/>
    </xf>
    <xf numFmtId="0" fontId="24" fillId="0" borderId="51" xfId="3" applyFont="1" applyBorder="1" applyAlignment="1">
      <alignment horizontal="center" vertical="center" wrapText="1"/>
    </xf>
    <xf numFmtId="0" fontId="24" fillId="0" borderId="52" xfId="3" applyFont="1" applyBorder="1" applyAlignment="1">
      <alignment vertical="center"/>
    </xf>
    <xf numFmtId="0" fontId="24" fillId="0" borderId="50" xfId="3" applyFont="1" applyBorder="1" applyAlignment="1">
      <alignment horizontal="center" vertical="center" wrapText="1"/>
    </xf>
    <xf numFmtId="0" fontId="24" fillId="0" borderId="11" xfId="3" applyFont="1" applyBorder="1" applyAlignment="1">
      <alignment horizontal="center" vertical="center" wrapText="1"/>
    </xf>
    <xf numFmtId="0" fontId="23" fillId="0" borderId="43" xfId="3" applyBorder="1"/>
    <xf numFmtId="0" fontId="23" fillId="0" borderId="52" xfId="3" applyBorder="1"/>
    <xf numFmtId="0" fontId="4" fillId="2" borderId="0" xfId="0" applyFont="1" applyFill="1" applyBorder="1" applyAlignment="1">
      <alignment horizontal="right" vertical="center" indent="1"/>
    </xf>
    <xf numFmtId="1" fontId="0" fillId="2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3"/>
    <cellStyle name="Percent" xfId="2" builtinId="5"/>
    <cellStyle name="Style 1" xfId="4"/>
    <cellStyle name="Styl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HBW Time of Day Distribution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64647531306196"/>
          <c:y val="0.1100772850459288"/>
          <c:w val="0.7020981754903356"/>
          <c:h val="0.730645157145639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'INPUTS - 5_DiurnalDistribution'!$H$7</c:f>
              <c:strCache>
                <c:ptCount val="1"/>
                <c:pt idx="0">
                  <c:v>DEP_HBW</c:v>
                </c:pt>
              </c:strCache>
            </c:strRef>
          </c:tx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- 5_DiurnalDistribution'!$H$8:$H$31</c:f>
              <c:numCache>
                <c:formatCode>0.00</c:formatCode>
                <c:ptCount val="24"/>
                <c:pt idx="0">
                  <c:v>4.6762999999999999E-2</c:v>
                </c:pt>
                <c:pt idx="1">
                  <c:v>4.6762999999999999E-2</c:v>
                </c:pt>
                <c:pt idx="2">
                  <c:v>4.6762999999999999E-2</c:v>
                </c:pt>
                <c:pt idx="3">
                  <c:v>0.66320599999999996</c:v>
                </c:pt>
                <c:pt idx="4">
                  <c:v>0.57216500000000003</c:v>
                </c:pt>
                <c:pt idx="5">
                  <c:v>1.5681290000000001</c:v>
                </c:pt>
                <c:pt idx="6">
                  <c:v>9.4549079999999996</c:v>
                </c:pt>
                <c:pt idx="7">
                  <c:v>16.303101999999999</c:v>
                </c:pt>
                <c:pt idx="8">
                  <c:v>7.8086399999999996</c:v>
                </c:pt>
                <c:pt idx="9">
                  <c:v>3.1537959999999998</c:v>
                </c:pt>
                <c:pt idx="10">
                  <c:v>1.51156</c:v>
                </c:pt>
                <c:pt idx="11">
                  <c:v>1.51156</c:v>
                </c:pt>
                <c:pt idx="12">
                  <c:v>1.17134</c:v>
                </c:pt>
                <c:pt idx="13">
                  <c:v>1.0581119999999999</c:v>
                </c:pt>
                <c:pt idx="14">
                  <c:v>0.881776</c:v>
                </c:pt>
                <c:pt idx="15">
                  <c:v>0.53600099999999995</c:v>
                </c:pt>
                <c:pt idx="16">
                  <c:v>0.53600099999999995</c:v>
                </c:pt>
                <c:pt idx="17">
                  <c:v>0.82479100000000005</c:v>
                </c:pt>
                <c:pt idx="18">
                  <c:v>0.35103699999999999</c:v>
                </c:pt>
                <c:pt idx="19">
                  <c:v>0.35103699999999999</c:v>
                </c:pt>
                <c:pt idx="20">
                  <c:v>0.78343499999999999</c:v>
                </c:pt>
                <c:pt idx="21">
                  <c:v>0.35103699999999999</c:v>
                </c:pt>
                <c:pt idx="22">
                  <c:v>0.35103699999999999</c:v>
                </c:pt>
                <c:pt idx="23">
                  <c:v>0.11704199999999999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'INPUTS - 5_DiurnalDistribution'!$I$7</c:f>
              <c:strCache>
                <c:ptCount val="1"/>
                <c:pt idx="0">
                  <c:v>RET_HBW</c:v>
                </c:pt>
              </c:strCache>
            </c:strRef>
          </c:tx>
          <c:spPr>
            <a:ln>
              <a:solidFill>
                <a:srgbClr val="4F81BD"/>
              </a:solidFill>
              <a:prstDash val="sysDash"/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- 5_DiurnalDistribution'!$I$8:$I$31</c:f>
              <c:numCache>
                <c:formatCode>0.00</c:formatCode>
                <c:ptCount val="24"/>
                <c:pt idx="0">
                  <c:v>0.25484000000000001</c:v>
                </c:pt>
                <c:pt idx="1">
                  <c:v>0.25484000000000001</c:v>
                </c:pt>
                <c:pt idx="2">
                  <c:v>0.25484000000000001</c:v>
                </c:pt>
                <c:pt idx="3">
                  <c:v>0.25484000000000001</c:v>
                </c:pt>
                <c:pt idx="4">
                  <c:v>0.25484000000000001</c:v>
                </c:pt>
                <c:pt idx="5">
                  <c:v>0.25484000000000001</c:v>
                </c:pt>
                <c:pt idx="6">
                  <c:v>0.58693300000000004</c:v>
                </c:pt>
                <c:pt idx="7">
                  <c:v>0.66320800000000002</c:v>
                </c:pt>
                <c:pt idx="8">
                  <c:v>0.115345</c:v>
                </c:pt>
                <c:pt idx="9">
                  <c:v>0.25060700000000002</c:v>
                </c:pt>
                <c:pt idx="10">
                  <c:v>0.50121400000000005</c:v>
                </c:pt>
                <c:pt idx="11">
                  <c:v>1.1025130000000001</c:v>
                </c:pt>
                <c:pt idx="12">
                  <c:v>0.89314800000000005</c:v>
                </c:pt>
                <c:pt idx="13">
                  <c:v>2.0046309999999998</c:v>
                </c:pt>
                <c:pt idx="14">
                  <c:v>2.330104</c:v>
                </c:pt>
                <c:pt idx="15">
                  <c:v>7.4881650000000004</c:v>
                </c:pt>
                <c:pt idx="16">
                  <c:v>8.0758039999999998</c:v>
                </c:pt>
                <c:pt idx="17">
                  <c:v>11.974795</c:v>
                </c:pt>
                <c:pt idx="18">
                  <c:v>5.1690370000000003</c:v>
                </c:pt>
                <c:pt idx="19">
                  <c:v>1.78365</c:v>
                </c:pt>
                <c:pt idx="20">
                  <c:v>2.091812</c:v>
                </c:pt>
                <c:pt idx="21">
                  <c:v>0.50968000000000002</c:v>
                </c:pt>
                <c:pt idx="22">
                  <c:v>1.91107</c:v>
                </c:pt>
                <c:pt idx="23">
                  <c:v>1.019245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608960"/>
        <c:axId val="505609536"/>
      </c:scatterChart>
      <c:valAx>
        <c:axId val="505608960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505609536"/>
        <c:crosses val="autoZero"/>
        <c:crossBetween val="midCat"/>
        <c:majorUnit val="1"/>
      </c:valAx>
      <c:valAx>
        <c:axId val="505609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</a:t>
                </a:r>
                <a:r>
                  <a:rPr lang="en-US" baseline="0"/>
                  <a:t> of Daily Trips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05608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HBS Time of Day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564647531306196"/>
          <c:y val="0.1100772850459288"/>
          <c:w val="0.7020981754903356"/>
          <c:h val="0.73064515714564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'INPUTS - 5_DiurnalDistribution'!$J$7</c:f>
              <c:strCache>
                <c:ptCount val="1"/>
                <c:pt idx="0">
                  <c:v>DEP_HBS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- 5_DiurnalDistribution'!$J$8:$J$31</c:f>
              <c:numCache>
                <c:formatCode>0.00</c:formatCode>
                <c:ptCount val="24"/>
                <c:pt idx="0">
                  <c:v>4.5545000000000002E-2</c:v>
                </c:pt>
                <c:pt idx="1">
                  <c:v>4.5545000000000002E-2</c:v>
                </c:pt>
                <c:pt idx="2">
                  <c:v>4.5545000000000002E-2</c:v>
                </c:pt>
                <c:pt idx="3">
                  <c:v>4.5545000000000002E-2</c:v>
                </c:pt>
                <c:pt idx="4">
                  <c:v>4.5545000000000002E-2</c:v>
                </c:pt>
                <c:pt idx="5">
                  <c:v>4.5545000000000002E-2</c:v>
                </c:pt>
                <c:pt idx="6">
                  <c:v>1.1252450000000001</c:v>
                </c:pt>
                <c:pt idx="7">
                  <c:v>1.501816</c:v>
                </c:pt>
                <c:pt idx="8">
                  <c:v>0.89473599999999998</c:v>
                </c:pt>
                <c:pt idx="9">
                  <c:v>4.7207819999999998</c:v>
                </c:pt>
                <c:pt idx="10">
                  <c:v>6.5868840000000004</c:v>
                </c:pt>
                <c:pt idx="11">
                  <c:v>6.5868840000000004</c:v>
                </c:pt>
                <c:pt idx="12">
                  <c:v>4.5559810000000001</c:v>
                </c:pt>
                <c:pt idx="13">
                  <c:v>4.6351810000000002</c:v>
                </c:pt>
                <c:pt idx="14">
                  <c:v>2.4396300000000002</c:v>
                </c:pt>
                <c:pt idx="15">
                  <c:v>3.9497469999999999</c:v>
                </c:pt>
                <c:pt idx="16">
                  <c:v>3.9497469999999999</c:v>
                </c:pt>
                <c:pt idx="17">
                  <c:v>3.2126990000000002</c:v>
                </c:pt>
                <c:pt idx="18">
                  <c:v>2.7314120000000002</c:v>
                </c:pt>
                <c:pt idx="19">
                  <c:v>1.208888</c:v>
                </c:pt>
                <c:pt idx="20">
                  <c:v>0.96701899999999996</c:v>
                </c:pt>
                <c:pt idx="21">
                  <c:v>0.455235</c:v>
                </c:pt>
                <c:pt idx="22">
                  <c:v>0.1593</c:v>
                </c:pt>
                <c:pt idx="23">
                  <c:v>4.5545000000000002E-2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'INPUTS - 5_DiurnalDistribution'!$K$7</c:f>
              <c:strCache>
                <c:ptCount val="1"/>
                <c:pt idx="0">
                  <c:v>RET_HBS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- 5_DiurnalDistribution'!$K$8:$K$31</c:f>
              <c:numCache>
                <c:formatCode>0.00</c:formatCode>
                <c:ptCount val="24"/>
                <c:pt idx="0">
                  <c:v>5.2770999999999998E-2</c:v>
                </c:pt>
                <c:pt idx="1">
                  <c:v>5.2770999999999998E-2</c:v>
                </c:pt>
                <c:pt idx="2">
                  <c:v>5.2770999999999998E-2</c:v>
                </c:pt>
                <c:pt idx="3">
                  <c:v>5.2770999999999998E-2</c:v>
                </c:pt>
                <c:pt idx="4">
                  <c:v>5.2770999999999998E-2</c:v>
                </c:pt>
                <c:pt idx="5">
                  <c:v>5.2770999999999998E-2</c:v>
                </c:pt>
                <c:pt idx="6">
                  <c:v>0.111344</c:v>
                </c:pt>
                <c:pt idx="7">
                  <c:v>0.70389800000000002</c:v>
                </c:pt>
                <c:pt idx="8">
                  <c:v>0.83541699999999997</c:v>
                </c:pt>
                <c:pt idx="9">
                  <c:v>1.0643359999999999</c:v>
                </c:pt>
                <c:pt idx="10">
                  <c:v>3.0891540000000002</c:v>
                </c:pt>
                <c:pt idx="11">
                  <c:v>6.2284509999999997</c:v>
                </c:pt>
                <c:pt idx="12">
                  <c:v>3.466215</c:v>
                </c:pt>
                <c:pt idx="13">
                  <c:v>4.4118779999999997</c:v>
                </c:pt>
                <c:pt idx="14">
                  <c:v>4.2030079999999996</c:v>
                </c:pt>
                <c:pt idx="15">
                  <c:v>5.4453279999999999</c:v>
                </c:pt>
                <c:pt idx="16">
                  <c:v>4.1488519999999998</c:v>
                </c:pt>
                <c:pt idx="17">
                  <c:v>3.901923</c:v>
                </c:pt>
                <c:pt idx="18">
                  <c:v>2.6374029999999999</c:v>
                </c:pt>
                <c:pt idx="19">
                  <c:v>4.2198250000000002</c:v>
                </c:pt>
                <c:pt idx="20">
                  <c:v>2.0514019999999999</c:v>
                </c:pt>
                <c:pt idx="21">
                  <c:v>2.6374029999999999</c:v>
                </c:pt>
                <c:pt idx="22">
                  <c:v>0.263768</c:v>
                </c:pt>
                <c:pt idx="23">
                  <c:v>0.263768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201216"/>
        <c:axId val="251201792"/>
      </c:scatterChart>
      <c:valAx>
        <c:axId val="251201216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51201792"/>
        <c:crosses val="autoZero"/>
        <c:crossBetween val="midCat"/>
        <c:majorUnit val="1"/>
      </c:valAx>
      <c:valAx>
        <c:axId val="2512017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</a:t>
                </a:r>
                <a:r>
                  <a:rPr lang="en-US" baseline="0"/>
                  <a:t> of Daily Trips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51201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HBO Time of Day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564647531306196"/>
          <c:y val="0.1100772850459288"/>
          <c:w val="0.7020981754903356"/>
          <c:h val="0.730645157145640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'INPUTS - 5_DiurnalDistribution'!$L$7</c:f>
              <c:strCache>
                <c:ptCount val="1"/>
                <c:pt idx="0">
                  <c:v>DEP_HBO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- 5_DiurnalDistribution'!$L$8:$L$31</c:f>
              <c:numCache>
                <c:formatCode>0.00</c:formatCode>
                <c:ptCount val="24"/>
                <c:pt idx="0">
                  <c:v>5.6980999999999997E-2</c:v>
                </c:pt>
                <c:pt idx="1">
                  <c:v>5.6980999999999997E-2</c:v>
                </c:pt>
                <c:pt idx="2">
                  <c:v>5.6980999999999997E-2</c:v>
                </c:pt>
                <c:pt idx="3">
                  <c:v>5.6980999999999997E-2</c:v>
                </c:pt>
                <c:pt idx="4">
                  <c:v>5.6980999999999997E-2</c:v>
                </c:pt>
                <c:pt idx="5">
                  <c:v>0.56980900000000001</c:v>
                </c:pt>
                <c:pt idx="6">
                  <c:v>0.71360400000000002</c:v>
                </c:pt>
                <c:pt idx="7">
                  <c:v>6.8791849999999997</c:v>
                </c:pt>
                <c:pt idx="8">
                  <c:v>5.0970230000000001</c:v>
                </c:pt>
                <c:pt idx="9">
                  <c:v>2.13544</c:v>
                </c:pt>
                <c:pt idx="10">
                  <c:v>3.2032099999999999</c:v>
                </c:pt>
                <c:pt idx="11">
                  <c:v>3.4701529999999998</c:v>
                </c:pt>
                <c:pt idx="12">
                  <c:v>2.2782779999999998</c:v>
                </c:pt>
                <c:pt idx="13">
                  <c:v>1.198984</c:v>
                </c:pt>
                <c:pt idx="14">
                  <c:v>3.4701529999999998</c:v>
                </c:pt>
                <c:pt idx="15">
                  <c:v>3.2139090000000001</c:v>
                </c:pt>
                <c:pt idx="16">
                  <c:v>3.2139090000000001</c:v>
                </c:pt>
                <c:pt idx="17">
                  <c:v>3.952083</c:v>
                </c:pt>
                <c:pt idx="18">
                  <c:v>3.7036519999999999</c:v>
                </c:pt>
                <c:pt idx="19">
                  <c:v>2.7064870000000001</c:v>
                </c:pt>
                <c:pt idx="20">
                  <c:v>2.7126209999999999</c:v>
                </c:pt>
                <c:pt idx="21">
                  <c:v>0.56980900000000001</c:v>
                </c:pt>
                <c:pt idx="22">
                  <c:v>0.56980900000000001</c:v>
                </c:pt>
                <c:pt idx="23">
                  <c:v>5.6980999999999997E-2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'INPUTS - 5_DiurnalDistribution'!$M$7</c:f>
              <c:strCache>
                <c:ptCount val="1"/>
                <c:pt idx="0">
                  <c:v>RET_HBO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- 5_DiurnalDistribution'!$M$8:$M$31</c:f>
              <c:numCache>
                <c:formatCode>0.00</c:formatCode>
                <c:ptCount val="24"/>
                <c:pt idx="0">
                  <c:v>0.21018000000000001</c:v>
                </c:pt>
                <c:pt idx="1">
                  <c:v>0.126692</c:v>
                </c:pt>
                <c:pt idx="2">
                  <c:v>0.126692</c:v>
                </c:pt>
                <c:pt idx="3">
                  <c:v>0.126692</c:v>
                </c:pt>
                <c:pt idx="4">
                  <c:v>0.126692</c:v>
                </c:pt>
                <c:pt idx="5">
                  <c:v>0.126692</c:v>
                </c:pt>
                <c:pt idx="6">
                  <c:v>0.174265</c:v>
                </c:pt>
                <c:pt idx="7">
                  <c:v>2.058357</c:v>
                </c:pt>
                <c:pt idx="8">
                  <c:v>1.5643629999999999</c:v>
                </c:pt>
                <c:pt idx="9">
                  <c:v>1.0159640000000001</c:v>
                </c:pt>
                <c:pt idx="10">
                  <c:v>1.1042479999999999</c:v>
                </c:pt>
                <c:pt idx="11">
                  <c:v>1.1406000000000001</c:v>
                </c:pt>
                <c:pt idx="12">
                  <c:v>1.946777</c:v>
                </c:pt>
                <c:pt idx="13">
                  <c:v>3.2277529999999999</c:v>
                </c:pt>
                <c:pt idx="14">
                  <c:v>5.0282669999999996</c:v>
                </c:pt>
                <c:pt idx="15">
                  <c:v>4.4941019999999998</c:v>
                </c:pt>
                <c:pt idx="16">
                  <c:v>4.7740559999999999</c:v>
                </c:pt>
                <c:pt idx="17">
                  <c:v>5.6984399999999997</c:v>
                </c:pt>
                <c:pt idx="18">
                  <c:v>3.8759480000000002</c:v>
                </c:pt>
                <c:pt idx="19">
                  <c:v>4.4127239999999999</c:v>
                </c:pt>
                <c:pt idx="20">
                  <c:v>4.3145319999999998</c:v>
                </c:pt>
                <c:pt idx="21">
                  <c:v>2.7459989999999999</c:v>
                </c:pt>
                <c:pt idx="22">
                  <c:v>1.368153</c:v>
                </c:pt>
                <c:pt idx="23">
                  <c:v>0.211815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204096"/>
        <c:axId val="251204672"/>
      </c:scatterChart>
      <c:valAx>
        <c:axId val="251204096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51204672"/>
        <c:crosses val="autoZero"/>
        <c:crossBetween val="midCat"/>
        <c:majorUnit val="1"/>
      </c:valAx>
      <c:valAx>
        <c:axId val="251204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</a:t>
                </a:r>
                <a:r>
                  <a:rPr lang="en-US" baseline="0"/>
                  <a:t> of Daily Trips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51204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NHB Time of Day Distribution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564647531306196"/>
          <c:y val="0.1100772850459288"/>
          <c:w val="0.83701882727394461"/>
          <c:h val="0.730645157145640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'INPUTS - 5_DiurnalDistribution'!$N$7</c:f>
              <c:strCache>
                <c:ptCount val="1"/>
                <c:pt idx="0">
                  <c:v>DEP_NHB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- 5_DiurnalDistribution'!$N$8:$N$31</c:f>
              <c:numCache>
                <c:formatCode>0.00</c:formatCode>
                <c:ptCount val="24"/>
                <c:pt idx="0">
                  <c:v>4.9362999999999997E-2</c:v>
                </c:pt>
                <c:pt idx="1">
                  <c:v>4.9362999999999997E-2</c:v>
                </c:pt>
                <c:pt idx="2">
                  <c:v>4.9362999999999997E-2</c:v>
                </c:pt>
                <c:pt idx="3">
                  <c:v>4.9362999999999997E-2</c:v>
                </c:pt>
                <c:pt idx="4">
                  <c:v>4.9362999999999997E-2</c:v>
                </c:pt>
                <c:pt idx="5">
                  <c:v>9.8676E-2</c:v>
                </c:pt>
                <c:pt idx="6">
                  <c:v>0.28623100000000001</c:v>
                </c:pt>
                <c:pt idx="7">
                  <c:v>1.359526</c:v>
                </c:pt>
                <c:pt idx="8">
                  <c:v>1.717301</c:v>
                </c:pt>
                <c:pt idx="9">
                  <c:v>2.2203200000000001</c:v>
                </c:pt>
                <c:pt idx="10">
                  <c:v>4.810683</c:v>
                </c:pt>
                <c:pt idx="11">
                  <c:v>6.0195439999999998</c:v>
                </c:pt>
                <c:pt idx="12">
                  <c:v>4.810683</c:v>
                </c:pt>
                <c:pt idx="13">
                  <c:v>4.810683</c:v>
                </c:pt>
                <c:pt idx="14">
                  <c:v>4.3173069999999996</c:v>
                </c:pt>
                <c:pt idx="15">
                  <c:v>5.3649360000000001</c:v>
                </c:pt>
                <c:pt idx="16">
                  <c:v>4.5985170000000002</c:v>
                </c:pt>
                <c:pt idx="17">
                  <c:v>3.9853559999999999</c:v>
                </c:pt>
                <c:pt idx="18">
                  <c:v>1.726893</c:v>
                </c:pt>
                <c:pt idx="19">
                  <c:v>1.480229</c:v>
                </c:pt>
                <c:pt idx="20">
                  <c:v>0.98680299999999999</c:v>
                </c:pt>
                <c:pt idx="21">
                  <c:v>0.37004500000000001</c:v>
                </c:pt>
                <c:pt idx="22">
                  <c:v>0.74009000000000003</c:v>
                </c:pt>
                <c:pt idx="23">
                  <c:v>4.9362999999999997E-2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202944"/>
        <c:axId val="505608384"/>
      </c:scatterChart>
      <c:valAx>
        <c:axId val="251202944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505608384"/>
        <c:crosses val="autoZero"/>
        <c:crossBetween val="midCat"/>
        <c:majorUnit val="1"/>
      </c:valAx>
      <c:valAx>
        <c:axId val="505608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</a:t>
                </a:r>
                <a:r>
                  <a:rPr lang="en-US" baseline="0"/>
                  <a:t> of Daily Trips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512029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Trips - Time of Day Distribution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64647531306196"/>
          <c:y val="0.1100772850459288"/>
          <c:w val="0.7020981754903356"/>
          <c:h val="0.73064515714564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'INPUTS - 5_DiurnalDistribution'!$S$7</c:f>
              <c:strCache>
                <c:ptCount val="1"/>
                <c:pt idx="0">
                  <c:v>TOT_DEP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- 5_DiurnalDistribution'!$S$8:$S$31</c:f>
              <c:numCache>
                <c:formatCode>0.00</c:formatCode>
                <c:ptCount val="24"/>
                <c:pt idx="0">
                  <c:v>4.9662999999999999E-2</c:v>
                </c:pt>
                <c:pt idx="1">
                  <c:v>4.9662999999999999E-2</c:v>
                </c:pt>
                <c:pt idx="2">
                  <c:v>4.9662999999999999E-2</c:v>
                </c:pt>
                <c:pt idx="3">
                  <c:v>0.20377374999999998</c:v>
                </c:pt>
                <c:pt idx="4">
                  <c:v>0.18101349999999999</c:v>
                </c:pt>
                <c:pt idx="5">
                  <c:v>0.57053975000000001</c:v>
                </c:pt>
                <c:pt idx="6">
                  <c:v>2.894997</c:v>
                </c:pt>
                <c:pt idx="7">
                  <c:v>6.5109072499999998</c:v>
                </c:pt>
                <c:pt idx="8">
                  <c:v>3.8794249999999995</c:v>
                </c:pt>
                <c:pt idx="9">
                  <c:v>3.0575844999999999</c:v>
                </c:pt>
                <c:pt idx="10">
                  <c:v>4.02808425</c:v>
                </c:pt>
                <c:pt idx="11">
                  <c:v>4.3970352500000001</c:v>
                </c:pt>
                <c:pt idx="12">
                  <c:v>3.2040705000000003</c:v>
                </c:pt>
                <c:pt idx="13">
                  <c:v>2.9257400000000002</c:v>
                </c:pt>
                <c:pt idx="14">
                  <c:v>2.7772164999999998</c:v>
                </c:pt>
                <c:pt idx="15">
                  <c:v>3.2661482500000001</c:v>
                </c:pt>
                <c:pt idx="16">
                  <c:v>3.0745434999999999</c:v>
                </c:pt>
                <c:pt idx="17">
                  <c:v>2.9937322499999999</c:v>
                </c:pt>
                <c:pt idx="18">
                  <c:v>2.1282485000000002</c:v>
                </c:pt>
                <c:pt idx="19">
                  <c:v>1.4366602500000001</c:v>
                </c:pt>
                <c:pt idx="20">
                  <c:v>1.3624695</c:v>
                </c:pt>
                <c:pt idx="21">
                  <c:v>0.43653150000000002</c:v>
                </c:pt>
                <c:pt idx="22">
                  <c:v>0.45505899999999999</c:v>
                </c:pt>
                <c:pt idx="23">
                  <c:v>6.7232749999999994E-2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'INPUTS - 5_DiurnalDistribution'!$T$7</c:f>
              <c:strCache>
                <c:ptCount val="1"/>
                <c:pt idx="0">
                  <c:v>TOT_RET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'INPUTS - 5_DiurnalDistribution'!$B$8:$B$31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 - 5_DiurnalDistribution'!$T$8:$T$31</c:f>
              <c:numCache>
                <c:formatCode>0.00</c:formatCode>
                <c:ptCount val="24"/>
                <c:pt idx="0">
                  <c:v>0.14178850000000001</c:v>
                </c:pt>
                <c:pt idx="1">
                  <c:v>0.1209165</c:v>
                </c:pt>
                <c:pt idx="2">
                  <c:v>0.1209165</c:v>
                </c:pt>
                <c:pt idx="3">
                  <c:v>0.1209165</c:v>
                </c:pt>
                <c:pt idx="4">
                  <c:v>0.1209165</c:v>
                </c:pt>
                <c:pt idx="5">
                  <c:v>0.13324475</c:v>
                </c:pt>
                <c:pt idx="6">
                  <c:v>0.28969325000000001</c:v>
                </c:pt>
                <c:pt idx="7">
                  <c:v>1.1962472500000001</c:v>
                </c:pt>
                <c:pt idx="8">
                  <c:v>1.0581065000000001</c:v>
                </c:pt>
                <c:pt idx="9">
                  <c:v>1.13780675</c:v>
                </c:pt>
                <c:pt idx="10">
                  <c:v>2.3763247500000002</c:v>
                </c:pt>
                <c:pt idx="11">
                  <c:v>3.6227770000000001</c:v>
                </c:pt>
                <c:pt idx="12">
                  <c:v>2.77920575</c:v>
                </c:pt>
                <c:pt idx="13">
                  <c:v>3.6137362499999997</c:v>
                </c:pt>
                <c:pt idx="14">
                  <c:v>3.9696714999999996</c:v>
                </c:pt>
                <c:pt idx="15">
                  <c:v>5.6981327500000001</c:v>
                </c:pt>
                <c:pt idx="16">
                  <c:v>5.3993072499999997</c:v>
                </c:pt>
                <c:pt idx="17">
                  <c:v>6.3901285000000003</c:v>
                </c:pt>
                <c:pt idx="18">
                  <c:v>3.35232025</c:v>
                </c:pt>
                <c:pt idx="19">
                  <c:v>2.9741069999999996</c:v>
                </c:pt>
                <c:pt idx="20">
                  <c:v>2.3611372500000001</c:v>
                </c:pt>
                <c:pt idx="21">
                  <c:v>1.56578175</c:v>
                </c:pt>
                <c:pt idx="22">
                  <c:v>1.07077025</c:v>
                </c:pt>
                <c:pt idx="23">
                  <c:v>0.38604775000000002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92128"/>
        <c:axId val="255592704"/>
      </c:scatterChart>
      <c:valAx>
        <c:axId val="255592128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55592704"/>
        <c:crosses val="autoZero"/>
        <c:crossBetween val="midCat"/>
        <c:majorUnit val="1"/>
      </c:valAx>
      <c:valAx>
        <c:axId val="255592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</a:t>
                </a:r>
                <a:r>
                  <a:rPr lang="en-US" baseline="0"/>
                  <a:t> of Daily Trips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55592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</xdr:row>
      <xdr:rowOff>66675</xdr:rowOff>
    </xdr:from>
    <xdr:to>
      <xdr:col>1</xdr:col>
      <xdr:colOff>542925</xdr:colOff>
      <xdr:row>3</xdr:row>
      <xdr:rowOff>371475</xdr:rowOff>
    </xdr:to>
    <xdr:grpSp>
      <xdr:nvGrpSpPr>
        <xdr:cNvPr id="2" name="Group 1"/>
        <xdr:cNvGrpSpPr/>
      </xdr:nvGrpSpPr>
      <xdr:grpSpPr>
        <a:xfrm>
          <a:off x="386043" y="1108822"/>
          <a:ext cx="381000" cy="304800"/>
          <a:chOff x="2971800" y="2819400"/>
          <a:chExt cx="381000" cy="304800"/>
        </a:xfrm>
      </xdr:grpSpPr>
      <xdr:cxnSp macro="">
        <xdr:nvCxnSpPr>
          <xdr:cNvPr id="3" name="Straight Arrow Connector 2"/>
          <xdr:cNvCxnSpPr/>
        </xdr:nvCxnSpPr>
        <xdr:spPr>
          <a:xfrm>
            <a:off x="2971800" y="2971800"/>
            <a:ext cx="381000" cy="1588"/>
          </a:xfrm>
          <a:prstGeom prst="straightConnector1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headEnd type="none"/>
            <a:tailEnd type="triangle" w="lg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 rot="5400000" flipH="1" flipV="1">
            <a:off x="3123406" y="2895600"/>
            <a:ext cx="153194" cy="794"/>
          </a:xfrm>
          <a:prstGeom prst="straightConnector1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tailEnd type="triangle" w="lg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Arrow Connector 4"/>
          <xdr:cNvCxnSpPr/>
        </xdr:nvCxnSpPr>
        <xdr:spPr>
          <a:xfrm rot="5400000">
            <a:off x="3124994" y="3047206"/>
            <a:ext cx="152400" cy="1588"/>
          </a:xfrm>
          <a:prstGeom prst="straightConnector1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tailEnd type="triangle" w="lg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190500</xdr:colOff>
      <xdr:row>1</xdr:row>
      <xdr:rowOff>38100</xdr:rowOff>
    </xdr:from>
    <xdr:to>
      <xdr:col>3</xdr:col>
      <xdr:colOff>495300</xdr:colOff>
      <xdr:row>1</xdr:row>
      <xdr:rowOff>419100</xdr:rowOff>
    </xdr:to>
    <xdr:grpSp>
      <xdr:nvGrpSpPr>
        <xdr:cNvPr id="6" name="Group 5"/>
        <xdr:cNvGrpSpPr/>
      </xdr:nvGrpSpPr>
      <xdr:grpSpPr>
        <a:xfrm rot="5400000">
          <a:off x="2012576" y="244288"/>
          <a:ext cx="381000" cy="304800"/>
          <a:chOff x="2971800" y="2819400"/>
          <a:chExt cx="381000" cy="304800"/>
        </a:xfrm>
      </xdr:grpSpPr>
      <xdr:cxnSp macro="">
        <xdr:nvCxnSpPr>
          <xdr:cNvPr id="7" name="Straight Arrow Connector 6"/>
          <xdr:cNvCxnSpPr/>
        </xdr:nvCxnSpPr>
        <xdr:spPr>
          <a:xfrm>
            <a:off x="29718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/>
          <xdr:cNvCxnSpPr/>
        </xdr:nvCxnSpPr>
        <xdr:spPr>
          <a:xfrm rot="5400000" flipH="1" flipV="1">
            <a:off x="3123406" y="28956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Arrow Connector 8"/>
          <xdr:cNvCxnSpPr/>
        </xdr:nvCxnSpPr>
        <xdr:spPr>
          <a:xfrm rot="5400000">
            <a:off x="3124994" y="3047206"/>
            <a:ext cx="152400" cy="1588"/>
          </a:xfrm>
          <a:prstGeom prst="straightConnector1">
            <a:avLst/>
          </a:prstGeom>
          <a:ln w="19050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171450</xdr:colOff>
      <xdr:row>4</xdr:row>
      <xdr:rowOff>28575</xdr:rowOff>
    </xdr:from>
    <xdr:to>
      <xdr:col>1</xdr:col>
      <xdr:colOff>552450</xdr:colOff>
      <xdr:row>4</xdr:row>
      <xdr:rowOff>409575</xdr:rowOff>
    </xdr:to>
    <xdr:grpSp>
      <xdr:nvGrpSpPr>
        <xdr:cNvPr id="10" name="Group 9"/>
        <xdr:cNvGrpSpPr/>
      </xdr:nvGrpSpPr>
      <xdr:grpSpPr>
        <a:xfrm>
          <a:off x="395568" y="1507751"/>
          <a:ext cx="381000" cy="381000"/>
          <a:chOff x="2819400" y="2209800"/>
          <a:chExt cx="381000" cy="381000"/>
        </a:xfrm>
      </xdr:grpSpPr>
      <xdr:cxnSp macro="">
        <xdr:nvCxnSpPr>
          <xdr:cNvPr id="11" name="Straight Arrow Connector 10"/>
          <xdr:cNvCxnSpPr/>
        </xdr:nvCxnSpPr>
        <xdr:spPr>
          <a:xfrm rot="5400000" flipH="1" flipV="1">
            <a:off x="2971800" y="22860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2" name="Group 38"/>
          <xdr:cNvGrpSpPr/>
        </xdr:nvGrpSpPr>
        <xdr:grpSpPr>
          <a:xfrm>
            <a:off x="2819400" y="2438400"/>
            <a:ext cx="381000" cy="152400"/>
            <a:chOff x="2819400" y="3124200"/>
            <a:chExt cx="381000" cy="152400"/>
          </a:xfrm>
        </xdr:grpSpPr>
        <xdr:cxnSp macro="">
          <xdr:nvCxnSpPr>
            <xdr:cNvPr id="14" name="Straight Arrow Connector 13"/>
            <xdr:cNvCxnSpPr/>
          </xdr:nvCxnSpPr>
          <xdr:spPr>
            <a:xfrm>
              <a:off x="2819400" y="3124200"/>
              <a:ext cx="381000" cy="158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/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Arrow Connector 14"/>
            <xdr:cNvCxnSpPr/>
          </xdr:nvCxnSpPr>
          <xdr:spPr>
            <a:xfrm rot="5400000">
              <a:off x="2972594" y="3199606"/>
              <a:ext cx="152400" cy="1588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" name="Straight Connector 12"/>
          <xdr:cNvCxnSpPr/>
        </xdr:nvCxnSpPr>
        <xdr:spPr>
          <a:xfrm rot="10800000">
            <a:off x="2819400" y="23622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142875</xdr:colOff>
      <xdr:row>1</xdr:row>
      <xdr:rowOff>38100</xdr:rowOff>
    </xdr:from>
    <xdr:to>
      <xdr:col>4</xdr:col>
      <xdr:colOff>523875</xdr:colOff>
      <xdr:row>1</xdr:row>
      <xdr:rowOff>419100</xdr:rowOff>
    </xdr:to>
    <xdr:grpSp>
      <xdr:nvGrpSpPr>
        <xdr:cNvPr id="16" name="Group 15"/>
        <xdr:cNvGrpSpPr/>
      </xdr:nvGrpSpPr>
      <xdr:grpSpPr>
        <a:xfrm rot="5400000">
          <a:off x="2821081" y="206188"/>
          <a:ext cx="381000" cy="381000"/>
          <a:chOff x="2819400" y="2209800"/>
          <a:chExt cx="381000" cy="381000"/>
        </a:xfrm>
      </xdr:grpSpPr>
      <xdr:cxnSp macro="">
        <xdr:nvCxnSpPr>
          <xdr:cNvPr id="17" name="Straight Arrow Connector 16"/>
          <xdr:cNvCxnSpPr/>
        </xdr:nvCxnSpPr>
        <xdr:spPr>
          <a:xfrm rot="5400000" flipH="1" flipV="1">
            <a:off x="2971800" y="22860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8" name="Group 44"/>
          <xdr:cNvGrpSpPr/>
        </xdr:nvGrpSpPr>
        <xdr:grpSpPr>
          <a:xfrm>
            <a:off x="2819400" y="2438400"/>
            <a:ext cx="381000" cy="152400"/>
            <a:chOff x="2819400" y="3124200"/>
            <a:chExt cx="381000" cy="152400"/>
          </a:xfrm>
        </xdr:grpSpPr>
        <xdr:cxnSp macro="">
          <xdr:nvCxnSpPr>
            <xdr:cNvPr id="20" name="Straight Arrow Connector 19"/>
            <xdr:cNvCxnSpPr/>
          </xdr:nvCxnSpPr>
          <xdr:spPr>
            <a:xfrm>
              <a:off x="2819400" y="3124200"/>
              <a:ext cx="381000" cy="1588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/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Arrow Connector 20"/>
            <xdr:cNvCxnSpPr/>
          </xdr:nvCxnSpPr>
          <xdr:spPr>
            <a:xfrm rot="5400000">
              <a:off x="2972594" y="3199606"/>
              <a:ext cx="152400" cy="1588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" name="Straight Connector 18"/>
          <xdr:cNvCxnSpPr/>
        </xdr:nvCxnSpPr>
        <xdr:spPr>
          <a:xfrm rot="10800000">
            <a:off x="2819400" y="23622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133349</xdr:colOff>
      <xdr:row>5</xdr:row>
      <xdr:rowOff>19050</xdr:rowOff>
    </xdr:from>
    <xdr:to>
      <xdr:col>1</xdr:col>
      <xdr:colOff>581024</xdr:colOff>
      <xdr:row>5</xdr:row>
      <xdr:rowOff>409575</xdr:rowOff>
    </xdr:to>
    <xdr:grpSp>
      <xdr:nvGrpSpPr>
        <xdr:cNvPr id="22" name="Group 21"/>
        <xdr:cNvGrpSpPr/>
      </xdr:nvGrpSpPr>
      <xdr:grpSpPr>
        <a:xfrm>
          <a:off x="357467" y="1935256"/>
          <a:ext cx="447675" cy="390525"/>
          <a:chOff x="2819400" y="3505200"/>
          <a:chExt cx="381000" cy="457200"/>
        </a:xfrm>
      </xdr:grpSpPr>
      <xdr:cxnSp macro="">
        <xdr:nvCxnSpPr>
          <xdr:cNvPr id="23" name="Straight Arrow Connector 22"/>
          <xdr:cNvCxnSpPr/>
        </xdr:nvCxnSpPr>
        <xdr:spPr>
          <a:xfrm rot="5400000" flipH="1" flipV="1">
            <a:off x="2971800" y="35814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Arrow Connector 23"/>
          <xdr:cNvCxnSpPr/>
        </xdr:nvCxnSpPr>
        <xdr:spPr>
          <a:xfrm>
            <a:off x="2819400" y="3733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 rot="10800000">
            <a:off x="2819400" y="36576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/>
          <xdr:cNvCxnSpPr/>
        </xdr:nvCxnSpPr>
        <xdr:spPr>
          <a:xfrm rot="5400000">
            <a:off x="2972197" y="3885803"/>
            <a:ext cx="152400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rot="10800000">
            <a:off x="2819400" y="38100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133349</xdr:colOff>
      <xdr:row>1</xdr:row>
      <xdr:rowOff>38100</xdr:rowOff>
    </xdr:from>
    <xdr:to>
      <xdr:col>5</xdr:col>
      <xdr:colOff>542924</xdr:colOff>
      <xdr:row>1</xdr:row>
      <xdr:rowOff>419100</xdr:rowOff>
    </xdr:to>
    <xdr:grpSp>
      <xdr:nvGrpSpPr>
        <xdr:cNvPr id="28" name="Group 27"/>
        <xdr:cNvGrpSpPr/>
      </xdr:nvGrpSpPr>
      <xdr:grpSpPr>
        <a:xfrm rot="5400000">
          <a:off x="3643872" y="191900"/>
          <a:ext cx="381000" cy="409575"/>
          <a:chOff x="2819400" y="3505200"/>
          <a:chExt cx="381000" cy="457200"/>
        </a:xfrm>
      </xdr:grpSpPr>
      <xdr:cxnSp macro="">
        <xdr:nvCxnSpPr>
          <xdr:cNvPr id="29" name="Straight Arrow Connector 28"/>
          <xdr:cNvCxnSpPr/>
        </xdr:nvCxnSpPr>
        <xdr:spPr>
          <a:xfrm rot="5400000" flipH="1" flipV="1">
            <a:off x="2971800" y="35814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Arrow Connector 29"/>
          <xdr:cNvCxnSpPr/>
        </xdr:nvCxnSpPr>
        <xdr:spPr>
          <a:xfrm>
            <a:off x="2819400" y="3733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/>
          <xdr:cNvCxnSpPr/>
        </xdr:nvCxnSpPr>
        <xdr:spPr>
          <a:xfrm rot="10800000">
            <a:off x="2819400" y="36576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/>
          <xdr:cNvCxnSpPr/>
        </xdr:nvCxnSpPr>
        <xdr:spPr>
          <a:xfrm rot="5400000">
            <a:off x="2972197" y="3885803"/>
            <a:ext cx="152400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/>
          <xdr:cNvCxnSpPr/>
        </xdr:nvCxnSpPr>
        <xdr:spPr>
          <a:xfrm rot="10800000">
            <a:off x="2819400" y="38100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180975</xdr:colOff>
      <xdr:row>6</xdr:row>
      <xdr:rowOff>28575</xdr:rowOff>
    </xdr:from>
    <xdr:to>
      <xdr:col>1</xdr:col>
      <xdr:colOff>561975</xdr:colOff>
      <xdr:row>6</xdr:row>
      <xdr:rowOff>400050</xdr:rowOff>
    </xdr:to>
    <xdr:grpSp>
      <xdr:nvGrpSpPr>
        <xdr:cNvPr id="34" name="Group 33"/>
        <xdr:cNvGrpSpPr/>
      </xdr:nvGrpSpPr>
      <xdr:grpSpPr>
        <a:xfrm>
          <a:off x="405093" y="2381810"/>
          <a:ext cx="381000" cy="371475"/>
          <a:chOff x="2057400" y="2743200"/>
          <a:chExt cx="381000" cy="533400"/>
        </a:xfrm>
      </xdr:grpSpPr>
      <xdr:cxnSp macro="">
        <xdr:nvCxnSpPr>
          <xdr:cNvPr id="35" name="Straight Arrow Connector 34"/>
          <xdr:cNvCxnSpPr/>
        </xdr:nvCxnSpPr>
        <xdr:spPr>
          <a:xfrm rot="5400000" flipH="1" flipV="1">
            <a:off x="2209800" y="28194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Arrow Connector 35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/>
          <xdr:cNvCxnSpPr/>
        </xdr:nvCxnSpPr>
        <xdr:spPr>
          <a:xfrm rot="5400000">
            <a:off x="2210594" y="3199606"/>
            <a:ext cx="152400" cy="1588"/>
          </a:xfrm>
          <a:prstGeom prst="straightConnector1">
            <a:avLst/>
          </a:prstGeom>
          <a:ln w="19050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/>
          <xdr:cNvCxnSpPr/>
        </xdr:nvCxnSpPr>
        <xdr:spPr>
          <a:xfrm rot="10800000">
            <a:off x="2057400" y="28956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152400</xdr:colOff>
      <xdr:row>1</xdr:row>
      <xdr:rowOff>38100</xdr:rowOff>
    </xdr:from>
    <xdr:to>
      <xdr:col>6</xdr:col>
      <xdr:colOff>514350</xdr:colOff>
      <xdr:row>1</xdr:row>
      <xdr:rowOff>419100</xdr:rowOff>
    </xdr:to>
    <xdr:grpSp>
      <xdr:nvGrpSpPr>
        <xdr:cNvPr id="40" name="Group 39"/>
        <xdr:cNvGrpSpPr/>
      </xdr:nvGrpSpPr>
      <xdr:grpSpPr>
        <a:xfrm rot="5400000">
          <a:off x="4457140" y="215713"/>
          <a:ext cx="381000" cy="361950"/>
          <a:chOff x="2057400" y="2743200"/>
          <a:chExt cx="381000" cy="533400"/>
        </a:xfrm>
      </xdr:grpSpPr>
      <xdr:cxnSp macro="">
        <xdr:nvCxnSpPr>
          <xdr:cNvPr id="41" name="Straight Arrow Connector 40"/>
          <xdr:cNvCxnSpPr/>
        </xdr:nvCxnSpPr>
        <xdr:spPr>
          <a:xfrm rot="5400000" flipH="1" flipV="1">
            <a:off x="2209800" y="28194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Arrow Connector 41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/>
          <xdr:cNvCxnSpPr/>
        </xdr:nvCxnSpPr>
        <xdr:spPr>
          <a:xfrm rot="5400000">
            <a:off x="2210594" y="3199606"/>
            <a:ext cx="152400" cy="1588"/>
          </a:xfrm>
          <a:prstGeom prst="straightConnector1">
            <a:avLst/>
          </a:prstGeom>
          <a:ln w="19050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/>
          <xdr:cNvCxnSpPr/>
        </xdr:nvCxnSpPr>
        <xdr:spPr>
          <a:xfrm rot="10800000">
            <a:off x="2057400" y="28956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552450</xdr:colOff>
      <xdr:row>7</xdr:row>
      <xdr:rowOff>419100</xdr:rowOff>
    </xdr:to>
    <xdr:grpSp>
      <xdr:nvGrpSpPr>
        <xdr:cNvPr id="46" name="Group 45"/>
        <xdr:cNvGrpSpPr/>
      </xdr:nvGrpSpPr>
      <xdr:grpSpPr>
        <a:xfrm>
          <a:off x="395568" y="2790265"/>
          <a:ext cx="381000" cy="419100"/>
          <a:chOff x="2057400" y="2743200"/>
          <a:chExt cx="381000" cy="609600"/>
        </a:xfrm>
      </xdr:grpSpPr>
      <xdr:cxnSp macro="">
        <xdr:nvCxnSpPr>
          <xdr:cNvPr id="47" name="Straight Arrow Connector 46"/>
          <xdr:cNvCxnSpPr/>
        </xdr:nvCxnSpPr>
        <xdr:spPr>
          <a:xfrm rot="5400000" flipH="1" flipV="1">
            <a:off x="2209800" y="28194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/>
          <xdr:cNvCxnSpPr/>
        </xdr:nvCxnSpPr>
        <xdr:spPr>
          <a:xfrm rot="10800000">
            <a:off x="2057400" y="28956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/>
          <xdr:cNvCxnSpPr/>
        </xdr:nvCxnSpPr>
        <xdr:spPr>
          <a:xfrm rot="5400000">
            <a:off x="2210197" y="3276203"/>
            <a:ext cx="152400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/>
          <xdr:cNvCxnSpPr/>
        </xdr:nvCxnSpPr>
        <xdr:spPr>
          <a:xfrm rot="10800000">
            <a:off x="2057400" y="32004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180975</xdr:colOff>
      <xdr:row>8</xdr:row>
      <xdr:rowOff>133350</xdr:rowOff>
    </xdr:from>
    <xdr:to>
      <xdr:col>1</xdr:col>
      <xdr:colOff>561975</xdr:colOff>
      <xdr:row>8</xdr:row>
      <xdr:rowOff>287338</xdr:rowOff>
    </xdr:to>
    <xdr:grpSp>
      <xdr:nvGrpSpPr>
        <xdr:cNvPr id="53" name="Group 52"/>
        <xdr:cNvGrpSpPr/>
      </xdr:nvGrpSpPr>
      <xdr:grpSpPr>
        <a:xfrm>
          <a:off x="405093" y="3360644"/>
          <a:ext cx="381000" cy="153988"/>
          <a:chOff x="2057400" y="2971800"/>
          <a:chExt cx="381000" cy="153988"/>
        </a:xfrm>
      </xdr:grpSpPr>
      <xdr:cxnSp macro="">
        <xdr:nvCxnSpPr>
          <xdr:cNvPr id="54" name="Straight Arrow Connector 53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Arrow Connector 54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190500</xdr:colOff>
      <xdr:row>9</xdr:row>
      <xdr:rowOff>85725</xdr:rowOff>
    </xdr:from>
    <xdr:to>
      <xdr:col>1</xdr:col>
      <xdr:colOff>571500</xdr:colOff>
      <xdr:row>9</xdr:row>
      <xdr:rowOff>333375</xdr:rowOff>
    </xdr:to>
    <xdr:grpSp>
      <xdr:nvGrpSpPr>
        <xdr:cNvPr id="56" name="Group 55"/>
        <xdr:cNvGrpSpPr/>
      </xdr:nvGrpSpPr>
      <xdr:grpSpPr>
        <a:xfrm>
          <a:off x="414618" y="3750049"/>
          <a:ext cx="381000" cy="247650"/>
          <a:chOff x="2057400" y="2971800"/>
          <a:chExt cx="381000" cy="306388"/>
        </a:xfrm>
      </xdr:grpSpPr>
      <xdr:cxnSp macro="">
        <xdr:nvCxnSpPr>
          <xdr:cNvPr id="57" name="Straight Arrow Connector 56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Arrow Connector 57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Arrow Connector 58"/>
          <xdr:cNvCxnSpPr/>
        </xdr:nvCxnSpPr>
        <xdr:spPr>
          <a:xfrm>
            <a:off x="2057400" y="32766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294481</xdr:colOff>
      <xdr:row>1</xdr:row>
      <xdr:rowOff>19844</xdr:rowOff>
    </xdr:from>
    <xdr:to>
      <xdr:col>8</xdr:col>
      <xdr:colOff>448469</xdr:colOff>
      <xdr:row>1</xdr:row>
      <xdr:rowOff>400844</xdr:rowOff>
    </xdr:to>
    <xdr:grpSp>
      <xdr:nvGrpSpPr>
        <xdr:cNvPr id="60" name="Group 59"/>
        <xdr:cNvGrpSpPr/>
      </xdr:nvGrpSpPr>
      <xdr:grpSpPr>
        <a:xfrm rot="5400000">
          <a:off x="6131299" y="301438"/>
          <a:ext cx="381000" cy="153988"/>
          <a:chOff x="2057400" y="2971800"/>
          <a:chExt cx="381000" cy="153988"/>
        </a:xfrm>
      </xdr:grpSpPr>
      <xdr:cxnSp macro="">
        <xdr:nvCxnSpPr>
          <xdr:cNvPr id="61" name="Straight Arrow Connector 60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Arrow Connector 61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123825</xdr:colOff>
      <xdr:row>1</xdr:row>
      <xdr:rowOff>28575</xdr:rowOff>
    </xdr:from>
    <xdr:to>
      <xdr:col>7</xdr:col>
      <xdr:colOff>542925</xdr:colOff>
      <xdr:row>1</xdr:row>
      <xdr:rowOff>409575</xdr:rowOff>
    </xdr:to>
    <xdr:grpSp>
      <xdr:nvGrpSpPr>
        <xdr:cNvPr id="63" name="Group 62"/>
        <xdr:cNvGrpSpPr/>
      </xdr:nvGrpSpPr>
      <xdr:grpSpPr>
        <a:xfrm rot="5400000">
          <a:off x="5275169" y="177613"/>
          <a:ext cx="381000" cy="419100"/>
          <a:chOff x="2057400" y="2743200"/>
          <a:chExt cx="381000" cy="609600"/>
        </a:xfrm>
      </xdr:grpSpPr>
      <xdr:cxnSp macro="">
        <xdr:nvCxnSpPr>
          <xdr:cNvPr id="64" name="Straight Arrow Connector 63"/>
          <xdr:cNvCxnSpPr/>
        </xdr:nvCxnSpPr>
        <xdr:spPr>
          <a:xfrm rot="5400000" flipH="1" flipV="1">
            <a:off x="2209800" y="2819400"/>
            <a:ext cx="153194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Arrow Connector 64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Arrow Connector 65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/>
          <xdr:cNvCxnSpPr/>
        </xdr:nvCxnSpPr>
        <xdr:spPr>
          <a:xfrm rot="10800000">
            <a:off x="2057400" y="28956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Arrow Connector 67"/>
          <xdr:cNvCxnSpPr/>
        </xdr:nvCxnSpPr>
        <xdr:spPr>
          <a:xfrm rot="5400000">
            <a:off x="2210197" y="3276203"/>
            <a:ext cx="152400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/>
          <xdr:cNvCxnSpPr/>
        </xdr:nvCxnSpPr>
        <xdr:spPr>
          <a:xfrm rot="10800000">
            <a:off x="2057400" y="3200400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171450</xdr:colOff>
      <xdr:row>1</xdr:row>
      <xdr:rowOff>28575</xdr:rowOff>
    </xdr:from>
    <xdr:to>
      <xdr:col>9</xdr:col>
      <xdr:colOff>438150</xdr:colOff>
      <xdr:row>1</xdr:row>
      <xdr:rowOff>409575</xdr:rowOff>
    </xdr:to>
    <xdr:grpSp>
      <xdr:nvGrpSpPr>
        <xdr:cNvPr id="70" name="Group 69"/>
        <xdr:cNvGrpSpPr/>
      </xdr:nvGrpSpPr>
      <xdr:grpSpPr>
        <a:xfrm rot="5400000">
          <a:off x="6882653" y="253813"/>
          <a:ext cx="381000" cy="266700"/>
          <a:chOff x="2057400" y="2971800"/>
          <a:chExt cx="381000" cy="306388"/>
        </a:xfrm>
      </xdr:grpSpPr>
      <xdr:cxnSp macro="">
        <xdr:nvCxnSpPr>
          <xdr:cNvPr id="71" name="Straight Arrow Connector 70"/>
          <xdr:cNvCxnSpPr/>
        </xdr:nvCxnSpPr>
        <xdr:spPr>
          <a:xfrm>
            <a:off x="2057400" y="31242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Arrow Connector 71"/>
          <xdr:cNvCxnSpPr/>
        </xdr:nvCxnSpPr>
        <xdr:spPr>
          <a:xfrm>
            <a:off x="2057400" y="29718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Arrow Connector 72"/>
          <xdr:cNvCxnSpPr/>
        </xdr:nvCxnSpPr>
        <xdr:spPr>
          <a:xfrm>
            <a:off x="2057400" y="3276600"/>
            <a:ext cx="381000" cy="1588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200025</xdr:colOff>
      <xdr:row>11</xdr:row>
      <xdr:rowOff>1</xdr:rowOff>
    </xdr:from>
    <xdr:to>
      <xdr:col>1</xdr:col>
      <xdr:colOff>581025</xdr:colOff>
      <xdr:row>11</xdr:row>
      <xdr:rowOff>417741</xdr:rowOff>
    </xdr:to>
    <xdr:grpSp>
      <xdr:nvGrpSpPr>
        <xdr:cNvPr id="74" name="Group 73"/>
        <xdr:cNvGrpSpPr/>
      </xdr:nvGrpSpPr>
      <xdr:grpSpPr>
        <a:xfrm>
          <a:off x="424143" y="4538383"/>
          <a:ext cx="381000" cy="417740"/>
          <a:chOff x="3733800" y="3193596"/>
          <a:chExt cx="381000" cy="417740"/>
        </a:xfrm>
      </xdr:grpSpPr>
      <xdr:cxnSp macro="">
        <xdr:nvCxnSpPr>
          <xdr:cNvPr id="75" name="Straight Arrow Connector 74"/>
          <xdr:cNvCxnSpPr/>
        </xdr:nvCxnSpPr>
        <xdr:spPr>
          <a:xfrm rot="5400000" flipH="1" flipV="1">
            <a:off x="3909454" y="3246544"/>
            <a:ext cx="106689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6" name="Group 75"/>
          <xdr:cNvGrpSpPr/>
        </xdr:nvGrpSpPr>
        <xdr:grpSpPr>
          <a:xfrm>
            <a:off x="3733800" y="3505200"/>
            <a:ext cx="381000" cy="106136"/>
            <a:chOff x="3733800" y="3458936"/>
            <a:chExt cx="381000" cy="106136"/>
          </a:xfrm>
        </xdr:grpSpPr>
        <xdr:cxnSp macro="">
          <xdr:nvCxnSpPr>
            <xdr:cNvPr id="80" name="Straight Arrow Connector 79"/>
            <xdr:cNvCxnSpPr/>
          </xdr:nvCxnSpPr>
          <xdr:spPr>
            <a:xfrm>
              <a:off x="3733800" y="3458936"/>
              <a:ext cx="381000" cy="1106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/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Straight Arrow Connector 80"/>
            <xdr:cNvCxnSpPr/>
          </xdr:nvCxnSpPr>
          <xdr:spPr>
            <a:xfrm rot="5400000">
              <a:off x="3910126" y="3511210"/>
              <a:ext cx="106136" cy="1588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7" name="Straight Arrow Connector 76"/>
          <xdr:cNvCxnSpPr/>
        </xdr:nvCxnSpPr>
        <xdr:spPr>
          <a:xfrm>
            <a:off x="3733800" y="33528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/>
          <xdr:cNvCxnSpPr/>
        </xdr:nvCxnSpPr>
        <xdr:spPr>
          <a:xfrm rot="10800000">
            <a:off x="3733800" y="3299732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Arrow Connector 78"/>
          <xdr:cNvCxnSpPr/>
        </xdr:nvCxnSpPr>
        <xdr:spPr>
          <a:xfrm>
            <a:off x="3733800" y="34290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210230</xdr:colOff>
      <xdr:row>1</xdr:row>
      <xdr:rowOff>27896</xdr:rowOff>
    </xdr:from>
    <xdr:to>
      <xdr:col>11</xdr:col>
      <xdr:colOff>627970</xdr:colOff>
      <xdr:row>1</xdr:row>
      <xdr:rowOff>408896</xdr:rowOff>
    </xdr:to>
    <xdr:grpSp>
      <xdr:nvGrpSpPr>
        <xdr:cNvPr id="82" name="Group 81"/>
        <xdr:cNvGrpSpPr/>
      </xdr:nvGrpSpPr>
      <xdr:grpSpPr>
        <a:xfrm rot="5400000">
          <a:off x="8633012" y="177614"/>
          <a:ext cx="381000" cy="417740"/>
          <a:chOff x="3733800" y="3193596"/>
          <a:chExt cx="381000" cy="417740"/>
        </a:xfrm>
      </xdr:grpSpPr>
      <xdr:cxnSp macro="">
        <xdr:nvCxnSpPr>
          <xdr:cNvPr id="83" name="Straight Arrow Connector 82"/>
          <xdr:cNvCxnSpPr/>
        </xdr:nvCxnSpPr>
        <xdr:spPr>
          <a:xfrm rot="5400000" flipH="1" flipV="1">
            <a:off x="3909454" y="3246544"/>
            <a:ext cx="106689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84" name="Group 83"/>
          <xdr:cNvGrpSpPr/>
        </xdr:nvGrpSpPr>
        <xdr:grpSpPr>
          <a:xfrm>
            <a:off x="3733800" y="3505200"/>
            <a:ext cx="381000" cy="106136"/>
            <a:chOff x="3733800" y="3458936"/>
            <a:chExt cx="381000" cy="106136"/>
          </a:xfrm>
        </xdr:grpSpPr>
        <xdr:cxnSp macro="">
          <xdr:nvCxnSpPr>
            <xdr:cNvPr id="88" name="Straight Arrow Connector 87"/>
            <xdr:cNvCxnSpPr/>
          </xdr:nvCxnSpPr>
          <xdr:spPr>
            <a:xfrm>
              <a:off x="3733800" y="3458936"/>
              <a:ext cx="381000" cy="1106"/>
            </a:xfrm>
            <a:prstGeom prst="straightConnector1">
              <a:avLst/>
            </a:prstGeom>
            <a:ln w="19050">
              <a:solidFill>
                <a:schemeClr val="tx1"/>
              </a:solidFill>
              <a:headEnd type="none"/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" name="Straight Arrow Connector 88"/>
            <xdr:cNvCxnSpPr/>
          </xdr:nvCxnSpPr>
          <xdr:spPr>
            <a:xfrm rot="5400000">
              <a:off x="3910126" y="3511210"/>
              <a:ext cx="106136" cy="1588"/>
            </a:xfrm>
            <a:prstGeom prst="straightConnector1">
              <a:avLst/>
            </a:prstGeom>
            <a:ln w="19050">
              <a:solidFill>
                <a:schemeClr val="tx1"/>
              </a:solidFill>
              <a:tailEnd type="triangle" w="lg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5" name="Straight Arrow Connector 84"/>
          <xdr:cNvCxnSpPr/>
        </xdr:nvCxnSpPr>
        <xdr:spPr>
          <a:xfrm>
            <a:off x="3733800" y="33528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/>
          <xdr:cNvCxnSpPr/>
        </xdr:nvCxnSpPr>
        <xdr:spPr>
          <a:xfrm rot="10800000">
            <a:off x="3733800" y="3299732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Arrow Connector 86"/>
          <xdr:cNvCxnSpPr/>
        </xdr:nvCxnSpPr>
        <xdr:spPr>
          <a:xfrm>
            <a:off x="3733800" y="34290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209550</xdr:colOff>
      <xdr:row>9</xdr:row>
      <xdr:rowOff>428626</xdr:rowOff>
    </xdr:from>
    <xdr:to>
      <xdr:col>1</xdr:col>
      <xdr:colOff>590550</xdr:colOff>
      <xdr:row>10</xdr:row>
      <xdr:rowOff>303186</xdr:rowOff>
    </xdr:to>
    <xdr:grpSp>
      <xdr:nvGrpSpPr>
        <xdr:cNvPr id="90" name="Group 89"/>
        <xdr:cNvGrpSpPr/>
      </xdr:nvGrpSpPr>
      <xdr:grpSpPr>
        <a:xfrm>
          <a:off x="433668" y="4092950"/>
          <a:ext cx="381000" cy="311589"/>
          <a:chOff x="3733800" y="3193596"/>
          <a:chExt cx="381000" cy="312710"/>
        </a:xfrm>
      </xdr:grpSpPr>
      <xdr:cxnSp macro="">
        <xdr:nvCxnSpPr>
          <xdr:cNvPr id="91" name="Straight Arrow Connector 90"/>
          <xdr:cNvCxnSpPr/>
        </xdr:nvCxnSpPr>
        <xdr:spPr>
          <a:xfrm rot="5400000" flipH="1" flipV="1">
            <a:off x="3909454" y="3246544"/>
            <a:ext cx="106689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Arrow Connector 91"/>
          <xdr:cNvCxnSpPr/>
        </xdr:nvCxnSpPr>
        <xdr:spPr>
          <a:xfrm>
            <a:off x="3733800" y="35052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Arrow Connector 92"/>
          <xdr:cNvCxnSpPr/>
        </xdr:nvCxnSpPr>
        <xdr:spPr>
          <a:xfrm>
            <a:off x="3733800" y="33528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/>
          <xdr:cNvCxnSpPr/>
        </xdr:nvCxnSpPr>
        <xdr:spPr>
          <a:xfrm rot="10800000">
            <a:off x="3733800" y="3299732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Arrow Connector 94"/>
          <xdr:cNvCxnSpPr/>
        </xdr:nvCxnSpPr>
        <xdr:spPr>
          <a:xfrm>
            <a:off x="3733800" y="34290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262745</xdr:colOff>
      <xdr:row>1</xdr:row>
      <xdr:rowOff>32531</xdr:rowOff>
    </xdr:from>
    <xdr:to>
      <xdr:col>10</xdr:col>
      <xdr:colOff>575455</xdr:colOff>
      <xdr:row>1</xdr:row>
      <xdr:rowOff>413531</xdr:rowOff>
    </xdr:to>
    <xdr:grpSp>
      <xdr:nvGrpSpPr>
        <xdr:cNvPr id="96" name="Group 95"/>
        <xdr:cNvGrpSpPr/>
      </xdr:nvGrpSpPr>
      <xdr:grpSpPr>
        <a:xfrm rot="5400000">
          <a:off x="7814982" y="234764"/>
          <a:ext cx="381000" cy="312710"/>
          <a:chOff x="3733800" y="3193596"/>
          <a:chExt cx="381000" cy="312710"/>
        </a:xfrm>
      </xdr:grpSpPr>
      <xdr:cxnSp macro="">
        <xdr:nvCxnSpPr>
          <xdr:cNvPr id="97" name="Straight Arrow Connector 96"/>
          <xdr:cNvCxnSpPr/>
        </xdr:nvCxnSpPr>
        <xdr:spPr>
          <a:xfrm rot="5400000" flipH="1" flipV="1">
            <a:off x="3909454" y="3246544"/>
            <a:ext cx="106689" cy="794"/>
          </a:xfrm>
          <a:prstGeom prst="straightConnector1">
            <a:avLst/>
          </a:prstGeom>
          <a:ln w="19050" cmpd="sng">
            <a:solidFill>
              <a:schemeClr val="tx1"/>
            </a:solidFill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Arrow Connector 97"/>
          <xdr:cNvCxnSpPr/>
        </xdr:nvCxnSpPr>
        <xdr:spPr>
          <a:xfrm>
            <a:off x="3733800" y="35052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/>
          <xdr:cNvCxnSpPr/>
        </xdr:nvCxnSpPr>
        <xdr:spPr>
          <a:xfrm>
            <a:off x="3733800" y="33528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/>
          <xdr:cNvCxnSpPr/>
        </xdr:nvCxnSpPr>
        <xdr:spPr>
          <a:xfrm rot="10800000">
            <a:off x="3733800" y="3299732"/>
            <a:ext cx="228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Arrow Connector 100"/>
          <xdr:cNvCxnSpPr/>
        </xdr:nvCxnSpPr>
        <xdr:spPr>
          <a:xfrm>
            <a:off x="3733800" y="3429000"/>
            <a:ext cx="381000" cy="1106"/>
          </a:xfrm>
          <a:prstGeom prst="straightConnector1">
            <a:avLst/>
          </a:prstGeom>
          <a:ln w="19050">
            <a:solidFill>
              <a:schemeClr val="tx1"/>
            </a:solidFill>
            <a:headEnd type="none"/>
            <a:tailEnd type="triangl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33</xdr:row>
      <xdr:rowOff>145677</xdr:rowOff>
    </xdr:from>
    <xdr:to>
      <xdr:col>15</xdr:col>
      <xdr:colOff>503464</xdr:colOff>
      <xdr:row>56</xdr:row>
      <xdr:rowOff>40823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163286</xdr:colOff>
      <xdr:row>57</xdr:row>
      <xdr:rowOff>108857</xdr:rowOff>
    </xdr:from>
    <xdr:to>
      <xdr:col>15</xdr:col>
      <xdr:colOff>487455</xdr:colOff>
      <xdr:row>80</xdr:row>
      <xdr:rowOff>8004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176892</xdr:colOff>
      <xdr:row>81</xdr:row>
      <xdr:rowOff>40822</xdr:rowOff>
    </xdr:from>
    <xdr:to>
      <xdr:col>15</xdr:col>
      <xdr:colOff>501061</xdr:colOff>
      <xdr:row>103</xdr:row>
      <xdr:rowOff>130469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163286</xdr:colOff>
      <xdr:row>105</xdr:row>
      <xdr:rowOff>13607</xdr:rowOff>
    </xdr:from>
    <xdr:to>
      <xdr:col>15</xdr:col>
      <xdr:colOff>487455</xdr:colOff>
      <xdr:row>127</xdr:row>
      <xdr:rowOff>103254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394607</xdr:colOff>
      <xdr:row>33</xdr:row>
      <xdr:rowOff>95250</xdr:rowOff>
    </xdr:from>
    <xdr:to>
      <xdr:col>29</xdr:col>
      <xdr:colOff>557892</xdr:colOff>
      <xdr:row>55</xdr:row>
      <xdr:rowOff>180896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571525</xdr:colOff>
      <xdr:row>19</xdr:row>
      <xdr:rowOff>22410</xdr:rowOff>
    </xdr:from>
    <xdr:to>
      <xdr:col>11</xdr:col>
      <xdr:colOff>99757</xdr:colOff>
      <xdr:row>20</xdr:row>
      <xdr:rowOff>22410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87260" y="3664322"/>
          <a:ext cx="738468" cy="1905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582731</xdr:colOff>
      <xdr:row>22</xdr:row>
      <xdr:rowOff>2</xdr:rowOff>
    </xdr:from>
    <xdr:to>
      <xdr:col>13</xdr:col>
      <xdr:colOff>444338</xdr:colOff>
      <xdr:row>26</xdr:row>
      <xdr:rowOff>2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98466" y="4213414"/>
          <a:ext cx="2282078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7</xdr:col>
      <xdr:colOff>333375</xdr:colOff>
      <xdr:row>24</xdr:row>
      <xdr:rowOff>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4400550"/>
          <a:ext cx="942975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8</xdr:col>
      <xdr:colOff>276225</xdr:colOff>
      <xdr:row>25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4591050"/>
          <a:ext cx="1495425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7</xdr:col>
      <xdr:colOff>295275</xdr:colOff>
      <xdr:row>26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4781550"/>
          <a:ext cx="904875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7</xdr:col>
      <xdr:colOff>447675</xdr:colOff>
      <xdr:row>27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4972050"/>
          <a:ext cx="1057275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9</xdr:col>
      <xdr:colOff>123825</xdr:colOff>
      <xdr:row>28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5162550"/>
          <a:ext cx="1952625" cy="1905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571525</xdr:colOff>
      <xdr:row>29</xdr:row>
      <xdr:rowOff>0</xdr:rowOff>
    </xdr:from>
    <xdr:to>
      <xdr:col>13</xdr:col>
      <xdr:colOff>471232</xdr:colOff>
      <xdr:row>31</xdr:row>
      <xdr:rowOff>180975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87260" y="5546912"/>
          <a:ext cx="2320178" cy="5619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7</xdr:col>
      <xdr:colOff>295275</xdr:colOff>
      <xdr:row>32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5924550"/>
          <a:ext cx="904875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8</xdr:col>
      <xdr:colOff>304800</xdr:colOff>
      <xdr:row>33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6115050"/>
          <a:ext cx="1524000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7</xdr:col>
      <xdr:colOff>295275</xdr:colOff>
      <xdr:row>34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6305550"/>
          <a:ext cx="904875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7</xdr:col>
      <xdr:colOff>514350</xdr:colOff>
      <xdr:row>35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6496050"/>
          <a:ext cx="1123950" cy="1905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9</xdr:col>
      <xdr:colOff>190500</xdr:colOff>
      <xdr:row>36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05425" y="6686550"/>
          <a:ext cx="2019300" cy="190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MTC\_v3%20Experimental%20Runs\v_3.02\Exp%201\2007\Inputs\3_TAZ%20and%20TripGen\SpecialGenerators_8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verview"/>
      <sheetName val="SGEN Trip Dist"/>
      <sheetName val="SGEN Trip Gen"/>
      <sheetName val="SGN Trip Dist Motorized"/>
      <sheetName val="Percent Non-Motorized"/>
      <sheetName val="SGEN Trip Gen Motorized"/>
      <sheetName val="Prelim SGEN TripDist"/>
      <sheetName val="Intersect_TAZ_ZipCode_ReExporte"/>
      <sheetName val="Partial_External_Zip"/>
      <sheetName val="InternalTAZ"/>
      <sheetName val="Internal"/>
      <sheetName val="Sheet24"/>
      <sheetName val="Externals by TAZ"/>
      <sheetName val="ExternalPartials"/>
      <sheetName val="External Pivot"/>
      <sheetName val="External"/>
      <sheetName val="Fringe"/>
      <sheetName val="Syracuse Local"/>
      <sheetName val="Records by ZIP Code"/>
      <sheetName val="Meta Data"/>
      <sheetName val="Zip Code to TAZ Allocation"/>
      <sheetName val="SE Input"/>
      <sheetName val="Prelim TripGen"/>
      <sheetName val="Special GENs"/>
      <sheetName val="Productions"/>
      <sheetName val="Attractions"/>
      <sheetName val="External PAs"/>
      <sheetName val="Hold1"/>
      <sheetName val="Hold2"/>
    </sheetNames>
    <sheetDataSet>
      <sheetData sheetId="0">
        <row r="11">
          <cell r="E1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4">
          <cell r="U54">
            <v>109.91108399999999</v>
          </cell>
          <cell r="V54">
            <v>198.54355600000002</v>
          </cell>
          <cell r="W54">
            <v>237.69802200000001</v>
          </cell>
        </row>
        <row r="55">
          <cell r="U55">
            <v>901.89736499999992</v>
          </cell>
          <cell r="V55">
            <v>1247.0168110000002</v>
          </cell>
          <cell r="W55">
            <v>2220.2328259999995</v>
          </cell>
        </row>
        <row r="59">
          <cell r="U59">
            <v>604.603836</v>
          </cell>
          <cell r="V59">
            <v>1092.1579839999999</v>
          </cell>
          <cell r="W59">
            <v>1307.5404080000001</v>
          </cell>
        </row>
        <row r="60">
          <cell r="U60">
            <v>361.06254300000001</v>
          </cell>
          <cell r="V60">
            <v>652.22434199999998</v>
          </cell>
          <cell r="W60">
            <v>780.84827900000005</v>
          </cell>
        </row>
        <row r="61">
          <cell r="U61">
            <v>955.72006799999986</v>
          </cell>
          <cell r="V61">
            <v>1726.4152840000002</v>
          </cell>
          <cell r="W61">
            <v>2066.8783980000003</v>
          </cell>
        </row>
      </sheetData>
      <sheetData sheetId="25">
        <row r="3">
          <cell r="L3">
            <v>1.45</v>
          </cell>
        </row>
        <row r="16">
          <cell r="Z16">
            <v>0</v>
          </cell>
          <cell r="AA16">
            <v>1468.1399999999999</v>
          </cell>
          <cell r="AB16">
            <v>979.45</v>
          </cell>
        </row>
        <row r="51">
          <cell r="Y51">
            <v>5018.4500000000007</v>
          </cell>
          <cell r="Z51">
            <v>29641.64</v>
          </cell>
          <cell r="AA51">
            <v>7315.2800000000007</v>
          </cell>
          <cell r="AB51">
            <v>25597.57</v>
          </cell>
        </row>
        <row r="52">
          <cell r="Y52">
            <v>2298.25</v>
          </cell>
          <cell r="AB52">
            <v>3835.7</v>
          </cell>
        </row>
        <row r="53">
          <cell r="Y53">
            <v>2447.6</v>
          </cell>
        </row>
        <row r="55">
          <cell r="Y55">
            <v>443.70000000000005</v>
          </cell>
        </row>
        <row r="56">
          <cell r="Y56">
            <v>10.15</v>
          </cell>
          <cell r="Z56">
            <v>0</v>
          </cell>
          <cell r="AA56">
            <v>0</v>
          </cell>
          <cell r="AB56">
            <v>13.09</v>
          </cell>
          <cell r="AC56">
            <v>23.240000000000002</v>
          </cell>
        </row>
        <row r="57">
          <cell r="Y57">
            <v>3314.7</v>
          </cell>
          <cell r="Z57">
            <v>0</v>
          </cell>
          <cell r="AA57">
            <v>8561.6999999999989</v>
          </cell>
          <cell r="AB57">
            <v>5747.0700000000006</v>
          </cell>
          <cell r="AC57">
            <v>17623.469999999998</v>
          </cell>
        </row>
        <row r="58">
          <cell r="Y58">
            <v>1518.1499999999999</v>
          </cell>
          <cell r="Z58">
            <v>0</v>
          </cell>
          <cell r="AA58">
            <v>0</v>
          </cell>
          <cell r="AB58">
            <v>1957.89</v>
          </cell>
          <cell r="AC58">
            <v>3476.04</v>
          </cell>
        </row>
        <row r="59">
          <cell r="Y59">
            <v>1122.3</v>
          </cell>
          <cell r="AB59">
            <v>2732.3599999999997</v>
          </cell>
        </row>
        <row r="60">
          <cell r="Y60">
            <v>14475.349999999997</v>
          </cell>
          <cell r="AB60">
            <v>30145.09</v>
          </cell>
        </row>
        <row r="61">
          <cell r="Y61">
            <v>7274.6500000000005</v>
          </cell>
          <cell r="AB61">
            <v>11709.760000000002</v>
          </cell>
        </row>
        <row r="63">
          <cell r="Y63">
            <v>4015.0499999999997</v>
          </cell>
        </row>
        <row r="65">
          <cell r="Y65">
            <v>2290.9999999999995</v>
          </cell>
          <cell r="AB65">
            <v>8130.4500000000007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5:K12"/>
  <sheetViews>
    <sheetView zoomScale="85" zoomScaleNormal="85" workbookViewId="0">
      <selection activeCell="E32" sqref="E32"/>
    </sheetView>
  </sheetViews>
  <sheetFormatPr defaultRowHeight="15" x14ac:dyDescent="0.25"/>
  <cols>
    <col min="1" max="16384" width="9.140625" style="2"/>
  </cols>
  <sheetData>
    <row r="5" spans="3:11" x14ac:dyDescent="0.25">
      <c r="C5" s="4" t="s">
        <v>2</v>
      </c>
      <c r="D5" s="5"/>
      <c r="E5" s="5"/>
      <c r="F5" s="5"/>
      <c r="G5" s="5"/>
      <c r="H5" s="5"/>
      <c r="I5" s="5"/>
      <c r="J5" s="5"/>
      <c r="K5" s="6"/>
    </row>
    <row r="6" spans="3:11" x14ac:dyDescent="0.25">
      <c r="C6" s="7"/>
      <c r="D6" s="8"/>
      <c r="E6" s="8"/>
      <c r="F6" s="8"/>
      <c r="G6" s="8"/>
      <c r="H6" s="8"/>
      <c r="I6" s="8"/>
      <c r="J6" s="8"/>
      <c r="K6" s="9"/>
    </row>
    <row r="7" spans="3:11" x14ac:dyDescent="0.25">
      <c r="C7" s="10" t="s">
        <v>0</v>
      </c>
      <c r="D7" s="11"/>
      <c r="E7" s="11"/>
      <c r="F7" s="11"/>
      <c r="G7" s="11"/>
      <c r="H7" s="11"/>
      <c r="I7" s="8"/>
      <c r="J7" s="8"/>
      <c r="K7" s="9"/>
    </row>
    <row r="8" spans="3:11" x14ac:dyDescent="0.25">
      <c r="C8" s="7"/>
      <c r="D8" s="8"/>
      <c r="E8" s="8"/>
      <c r="F8" s="8"/>
      <c r="G8" s="8"/>
      <c r="H8" s="8"/>
      <c r="I8" s="8"/>
      <c r="J8" s="8"/>
      <c r="K8" s="9"/>
    </row>
    <row r="9" spans="3:11" x14ac:dyDescent="0.25">
      <c r="C9" s="7" t="s">
        <v>3</v>
      </c>
      <c r="D9" s="8"/>
      <c r="E9" s="8"/>
      <c r="F9" s="8"/>
      <c r="G9" s="8"/>
      <c r="H9" s="8"/>
      <c r="I9" s="8"/>
      <c r="J9" s="8"/>
      <c r="K9" s="9"/>
    </row>
    <row r="10" spans="3:11" x14ac:dyDescent="0.25">
      <c r="C10" s="7"/>
      <c r="D10" s="8"/>
      <c r="E10" s="8"/>
      <c r="F10" s="8"/>
      <c r="G10" s="8"/>
      <c r="H10" s="8"/>
      <c r="I10" s="8"/>
      <c r="J10" s="8"/>
      <c r="K10" s="9"/>
    </row>
    <row r="11" spans="3:11" x14ac:dyDescent="0.25">
      <c r="C11" s="10" t="s">
        <v>1</v>
      </c>
      <c r="D11" s="11"/>
      <c r="E11" s="11"/>
      <c r="F11" s="11"/>
      <c r="G11" s="11"/>
      <c r="H11" s="11"/>
      <c r="I11" s="11"/>
      <c r="J11" s="11"/>
      <c r="K11" s="15"/>
    </row>
    <row r="12" spans="3:11" x14ac:dyDescent="0.25">
      <c r="C12" s="12"/>
      <c r="D12" s="13"/>
      <c r="E12" s="13"/>
      <c r="F12" s="13"/>
      <c r="G12" s="13"/>
      <c r="H12" s="13"/>
      <c r="I12" s="13"/>
      <c r="J12" s="13"/>
      <c r="K12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Q86"/>
  <sheetViews>
    <sheetView topLeftCell="C1" zoomScale="55" zoomScaleNormal="55" workbookViewId="0">
      <selection activeCell="I53" sqref="I53"/>
    </sheetView>
  </sheetViews>
  <sheetFormatPr defaultRowHeight="15" x14ac:dyDescent="0.25"/>
  <cols>
    <col min="1" max="1" width="9.140625" style="1"/>
    <col min="2" max="2" width="24" style="1" customWidth="1"/>
    <col min="3" max="3" width="17.85546875" style="1" customWidth="1"/>
    <col min="4" max="4" width="17.5703125" style="1" customWidth="1"/>
    <col min="5" max="5" width="22" style="1" customWidth="1"/>
    <col min="6" max="6" width="15.5703125" style="1" customWidth="1"/>
    <col min="7" max="7" width="19.42578125" style="1" customWidth="1"/>
    <col min="8" max="8" width="33.42578125" style="1" customWidth="1"/>
    <col min="9" max="9" width="33.85546875" style="1" customWidth="1"/>
    <col min="10" max="10" width="9.5703125" style="1" customWidth="1"/>
    <col min="11" max="11" width="14.42578125" style="1" customWidth="1"/>
    <col min="12" max="12" width="19.85546875" style="1" customWidth="1"/>
    <col min="13" max="15" width="9.5703125" style="1" customWidth="1"/>
    <col min="16" max="16" width="10" style="1" customWidth="1"/>
    <col min="17" max="17" width="9.140625" style="1"/>
    <col min="18" max="18" width="18.5703125" style="1" customWidth="1"/>
    <col min="19" max="21" width="9.140625" style="1"/>
    <col min="22" max="22" width="19.5703125" style="19" customWidth="1"/>
    <col min="23" max="23" width="19.42578125" style="19" bestFit="1" customWidth="1"/>
    <col min="24" max="24" width="10.85546875" style="1" bestFit="1" customWidth="1"/>
    <col min="25" max="25" width="9.5703125" style="1" bestFit="1" customWidth="1"/>
    <col min="26" max="26" width="17.28515625" style="1" bestFit="1" customWidth="1"/>
    <col min="27" max="27" width="9.140625" style="1"/>
    <col min="28" max="28" width="11" style="1" customWidth="1"/>
    <col min="29" max="29" width="9.140625" style="1"/>
    <col min="30" max="30" width="14.85546875" style="1" customWidth="1"/>
    <col min="31" max="31" width="27.5703125" style="1" customWidth="1"/>
    <col min="32" max="32" width="20" style="1" customWidth="1"/>
    <col min="33" max="33" width="17.85546875" style="1" customWidth="1"/>
    <col min="34" max="34" width="36" style="1" customWidth="1"/>
    <col min="35" max="35" width="9.140625" style="1" customWidth="1"/>
    <col min="36" max="16384" width="9.140625" style="1"/>
  </cols>
  <sheetData>
    <row r="2" spans="2:43" ht="15.75" thickBot="1" x14ac:dyDescent="0.3"/>
    <row r="3" spans="2:43" ht="15.75" thickBot="1" x14ac:dyDescent="0.3">
      <c r="B3" s="26" t="s">
        <v>4</v>
      </c>
      <c r="C3" s="27"/>
      <c r="D3" s="28"/>
      <c r="E3" s="11"/>
      <c r="P3" s="26" t="s">
        <v>70</v>
      </c>
      <c r="Q3" s="27"/>
      <c r="R3" s="27"/>
      <c r="S3" s="28"/>
      <c r="W3" s="26" t="s">
        <v>93</v>
      </c>
      <c r="X3" s="27"/>
      <c r="Y3" s="28"/>
      <c r="AB3" s="26" t="s">
        <v>96</v>
      </c>
      <c r="AC3" s="27"/>
      <c r="AD3" s="27"/>
      <c r="AE3" s="28"/>
      <c r="AL3" s="26" t="s">
        <v>97</v>
      </c>
      <c r="AM3" s="27"/>
      <c r="AN3" s="27"/>
      <c r="AO3" s="27"/>
      <c r="AP3" s="27"/>
      <c r="AQ3" s="28"/>
    </row>
    <row r="5" spans="2:43" x14ac:dyDescent="0.25">
      <c r="B5" s="1" t="s">
        <v>43</v>
      </c>
      <c r="G5" s="1" t="s">
        <v>44</v>
      </c>
      <c r="P5" s="1" t="s">
        <v>77</v>
      </c>
      <c r="W5" s="19" t="s">
        <v>277</v>
      </c>
    </row>
    <row r="6" spans="2:43" x14ac:dyDescent="0.25">
      <c r="AL6" s="3" t="s">
        <v>98</v>
      </c>
      <c r="AM6" s="3"/>
      <c r="AN6" s="3"/>
    </row>
    <row r="7" spans="2:43" x14ac:dyDescent="0.25">
      <c r="B7" s="37" t="s">
        <v>41</v>
      </c>
      <c r="C7" s="17" t="s">
        <v>42</v>
      </c>
      <c r="D7" s="116"/>
      <c r="E7" s="113" t="s">
        <v>463</v>
      </c>
      <c r="G7" s="37" t="s">
        <v>41</v>
      </c>
      <c r="H7" s="17" t="s">
        <v>42</v>
      </c>
      <c r="I7" s="42" t="s">
        <v>463</v>
      </c>
      <c r="K7" s="118" t="s">
        <v>464</v>
      </c>
      <c r="L7" s="42" t="s">
        <v>465</v>
      </c>
      <c r="P7" s="45" t="s">
        <v>71</v>
      </c>
      <c r="Q7" s="18" t="s">
        <v>72</v>
      </c>
      <c r="R7" s="18" t="s">
        <v>73</v>
      </c>
      <c r="S7" s="18" t="s">
        <v>74</v>
      </c>
      <c r="T7" s="18" t="s">
        <v>75</v>
      </c>
      <c r="U7" s="46" t="s">
        <v>76</v>
      </c>
      <c r="V7" s="20"/>
      <c r="W7" s="52" t="s">
        <v>94</v>
      </c>
      <c r="X7" s="21" t="s">
        <v>78</v>
      </c>
      <c r="Y7" s="21" t="s">
        <v>79</v>
      </c>
      <c r="Z7" s="53" t="s">
        <v>95</v>
      </c>
      <c r="AB7" s="59" t="s">
        <v>50</v>
      </c>
      <c r="AC7" s="60" t="s">
        <v>51</v>
      </c>
      <c r="AL7" s="3" t="s">
        <v>99</v>
      </c>
      <c r="AM7" s="3"/>
      <c r="AN7" s="3"/>
    </row>
    <row r="8" spans="2:43" x14ac:dyDescent="0.25">
      <c r="B8" s="39" t="s">
        <v>5</v>
      </c>
      <c r="C8" s="19" t="s">
        <v>284</v>
      </c>
      <c r="D8" s="19"/>
      <c r="E8" s="104" t="s">
        <v>460</v>
      </c>
      <c r="G8" s="43" t="s">
        <v>5</v>
      </c>
      <c r="H8" s="19" t="s">
        <v>323</v>
      </c>
      <c r="I8" s="104" t="s">
        <v>460</v>
      </c>
      <c r="K8" s="71">
        <v>1</v>
      </c>
      <c r="L8" s="104" t="s">
        <v>466</v>
      </c>
      <c r="P8" s="47">
        <v>2</v>
      </c>
      <c r="Q8" s="20">
        <v>7</v>
      </c>
      <c r="R8" s="20">
        <v>2</v>
      </c>
      <c r="S8" s="20">
        <v>2</v>
      </c>
      <c r="T8" s="20">
        <v>2</v>
      </c>
      <c r="U8" s="120" t="s">
        <v>470</v>
      </c>
      <c r="V8" s="20"/>
      <c r="W8" s="39" t="s">
        <v>80</v>
      </c>
      <c r="X8" s="54" t="s">
        <v>81</v>
      </c>
      <c r="Y8" s="54">
        <v>25</v>
      </c>
      <c r="Z8" s="55">
        <v>450</v>
      </c>
      <c r="AB8" s="61">
        <v>1</v>
      </c>
      <c r="AC8" s="62">
        <v>2300</v>
      </c>
    </row>
    <row r="9" spans="2:43" x14ac:dyDescent="0.25">
      <c r="B9" s="40" t="s">
        <v>6</v>
      </c>
      <c r="C9" s="19" t="s">
        <v>285</v>
      </c>
      <c r="D9" s="19"/>
      <c r="E9" s="104" t="s">
        <v>460</v>
      </c>
      <c r="G9" s="43" t="s">
        <v>45</v>
      </c>
      <c r="H9" s="19" t="s">
        <v>324</v>
      </c>
      <c r="I9" s="104" t="s">
        <v>460</v>
      </c>
      <c r="K9" s="71">
        <v>2</v>
      </c>
      <c r="L9" s="104" t="s">
        <v>91</v>
      </c>
      <c r="P9" s="47">
        <v>2</v>
      </c>
      <c r="Q9" s="20">
        <v>8</v>
      </c>
      <c r="R9" s="20">
        <v>2</v>
      </c>
      <c r="S9" s="20">
        <v>2</v>
      </c>
      <c r="T9" s="20">
        <v>2</v>
      </c>
      <c r="U9" s="120" t="s">
        <v>470</v>
      </c>
      <c r="V9" s="20"/>
      <c r="W9" s="39" t="s">
        <v>80</v>
      </c>
      <c r="X9" s="54" t="s">
        <v>82</v>
      </c>
      <c r="Y9" s="54">
        <v>25</v>
      </c>
      <c r="Z9" s="55">
        <v>450</v>
      </c>
      <c r="AB9" s="61">
        <v>2</v>
      </c>
      <c r="AC9" s="62">
        <v>2800</v>
      </c>
    </row>
    <row r="10" spans="2:43" x14ac:dyDescent="0.25">
      <c r="B10" s="39" t="s">
        <v>7</v>
      </c>
      <c r="C10" s="19" t="s">
        <v>501</v>
      </c>
      <c r="D10" s="19"/>
      <c r="E10" s="104" t="s">
        <v>461</v>
      </c>
      <c r="G10" s="43" t="s">
        <v>46</v>
      </c>
      <c r="H10" s="19" t="s">
        <v>325</v>
      </c>
      <c r="I10" s="104" t="s">
        <v>460</v>
      </c>
      <c r="K10" s="71">
        <v>3</v>
      </c>
      <c r="L10" s="104" t="s">
        <v>90</v>
      </c>
      <c r="P10" s="47">
        <v>3</v>
      </c>
      <c r="Q10" s="20">
        <v>7</v>
      </c>
      <c r="R10" s="20">
        <v>2</v>
      </c>
      <c r="S10" s="20">
        <v>2</v>
      </c>
      <c r="T10" s="20">
        <v>2</v>
      </c>
      <c r="U10" s="120" t="s">
        <v>470</v>
      </c>
      <c r="V10" s="20"/>
      <c r="W10" s="39" t="s">
        <v>80</v>
      </c>
      <c r="X10" s="54" t="s">
        <v>83</v>
      </c>
      <c r="Y10" s="54">
        <v>30</v>
      </c>
      <c r="Z10" s="55">
        <v>450</v>
      </c>
      <c r="AB10" s="61">
        <v>3</v>
      </c>
      <c r="AC10" s="62">
        <v>3300</v>
      </c>
    </row>
    <row r="11" spans="2:43" x14ac:dyDescent="0.25">
      <c r="B11" s="39" t="s">
        <v>8</v>
      </c>
      <c r="C11" s="19" t="s">
        <v>286</v>
      </c>
      <c r="D11" s="19"/>
      <c r="E11" s="104" t="s">
        <v>461</v>
      </c>
      <c r="G11" s="43" t="s">
        <v>47</v>
      </c>
      <c r="H11" s="19" t="s">
        <v>505</v>
      </c>
      <c r="I11" s="104" t="s">
        <v>461</v>
      </c>
      <c r="K11" s="71">
        <v>4</v>
      </c>
      <c r="L11" s="104" t="s">
        <v>89</v>
      </c>
      <c r="P11" s="47">
        <v>3</v>
      </c>
      <c r="Q11" s="20">
        <v>8</v>
      </c>
      <c r="R11" s="20">
        <v>2</v>
      </c>
      <c r="S11" s="20">
        <v>2</v>
      </c>
      <c r="T11" s="20">
        <v>2</v>
      </c>
      <c r="U11" s="120" t="s">
        <v>470</v>
      </c>
      <c r="V11" s="20"/>
      <c r="W11" s="39" t="s">
        <v>80</v>
      </c>
      <c r="X11" s="54" t="s">
        <v>84</v>
      </c>
      <c r="Y11" s="54">
        <v>35</v>
      </c>
      <c r="Z11" s="55">
        <v>450</v>
      </c>
      <c r="AB11" s="61">
        <v>4</v>
      </c>
      <c r="AC11" s="62">
        <v>3100</v>
      </c>
    </row>
    <row r="12" spans="2:43" x14ac:dyDescent="0.25">
      <c r="B12" s="39" t="s">
        <v>9</v>
      </c>
      <c r="C12" s="19" t="s">
        <v>287</v>
      </c>
      <c r="D12" s="19"/>
      <c r="E12" s="104" t="s">
        <v>461</v>
      </c>
      <c r="G12" s="43" t="s">
        <v>503</v>
      </c>
      <c r="H12" s="19" t="s">
        <v>504</v>
      </c>
      <c r="I12" s="104" t="s">
        <v>461</v>
      </c>
      <c r="K12" s="71">
        <v>5</v>
      </c>
      <c r="L12" s="104" t="s">
        <v>88</v>
      </c>
      <c r="P12" s="47">
        <v>4</v>
      </c>
      <c r="Q12" s="20">
        <v>7</v>
      </c>
      <c r="R12" s="20">
        <v>2</v>
      </c>
      <c r="S12" s="20">
        <v>2</v>
      </c>
      <c r="T12" s="20">
        <v>2</v>
      </c>
      <c r="U12" s="120" t="s">
        <v>470</v>
      </c>
      <c r="V12" s="20"/>
      <c r="W12" s="39" t="s">
        <v>85</v>
      </c>
      <c r="X12" s="54" t="s">
        <v>81</v>
      </c>
      <c r="Y12" s="54">
        <v>30</v>
      </c>
      <c r="Z12" s="55">
        <v>99999</v>
      </c>
      <c r="AB12" s="61">
        <v>5</v>
      </c>
      <c r="AC12" s="62">
        <v>3600</v>
      </c>
    </row>
    <row r="13" spans="2:43" x14ac:dyDescent="0.25">
      <c r="B13" s="39" t="s">
        <v>10</v>
      </c>
      <c r="C13" s="19" t="s">
        <v>458</v>
      </c>
      <c r="D13" s="19"/>
      <c r="E13" s="104" t="s">
        <v>461</v>
      </c>
      <c r="G13" s="43" t="s">
        <v>48</v>
      </c>
      <c r="H13" s="19" t="s">
        <v>326</v>
      </c>
      <c r="I13" s="104" t="s">
        <v>461</v>
      </c>
      <c r="K13" s="71">
        <v>6</v>
      </c>
      <c r="L13" s="104" t="s">
        <v>80</v>
      </c>
      <c r="P13" s="47">
        <v>4</v>
      </c>
      <c r="Q13" s="20">
        <v>8</v>
      </c>
      <c r="R13" s="20">
        <v>2</v>
      </c>
      <c r="S13" s="20">
        <v>2</v>
      </c>
      <c r="T13" s="20">
        <v>2</v>
      </c>
      <c r="U13" s="120" t="s">
        <v>470</v>
      </c>
      <c r="V13" s="20"/>
      <c r="W13" s="39" t="s">
        <v>85</v>
      </c>
      <c r="X13" s="54" t="s">
        <v>82</v>
      </c>
      <c r="Y13" s="54">
        <v>30</v>
      </c>
      <c r="Z13" s="55">
        <v>99999</v>
      </c>
      <c r="AB13" s="61">
        <v>6</v>
      </c>
      <c r="AC13" s="62">
        <v>3800</v>
      </c>
    </row>
    <row r="14" spans="2:43" x14ac:dyDescent="0.25">
      <c r="B14" s="39" t="s">
        <v>11</v>
      </c>
      <c r="C14" s="19" t="s">
        <v>489</v>
      </c>
      <c r="D14" s="19"/>
      <c r="E14" s="104" t="s">
        <v>461</v>
      </c>
      <c r="G14" s="43" t="s">
        <v>49</v>
      </c>
      <c r="H14" s="19" t="s">
        <v>506</v>
      </c>
      <c r="I14" s="104" t="s">
        <v>461</v>
      </c>
      <c r="K14" s="71">
        <v>7</v>
      </c>
      <c r="L14" s="104" t="s">
        <v>87</v>
      </c>
      <c r="P14" s="47">
        <v>5</v>
      </c>
      <c r="Q14" s="20">
        <v>7</v>
      </c>
      <c r="R14" s="20">
        <v>2</v>
      </c>
      <c r="S14" s="20">
        <v>2</v>
      </c>
      <c r="T14" s="20">
        <v>2</v>
      </c>
      <c r="U14" s="120" t="s">
        <v>470</v>
      </c>
      <c r="V14" s="20"/>
      <c r="W14" s="39" t="s">
        <v>85</v>
      </c>
      <c r="X14" s="54" t="s">
        <v>83</v>
      </c>
      <c r="Y14" s="54">
        <v>30</v>
      </c>
      <c r="Z14" s="55">
        <v>99999</v>
      </c>
      <c r="AB14" s="61">
        <v>7</v>
      </c>
      <c r="AC14" s="62">
        <v>4000</v>
      </c>
    </row>
    <row r="15" spans="2:43" x14ac:dyDescent="0.25">
      <c r="B15" s="39" t="s">
        <v>57</v>
      </c>
      <c r="C15" s="19" t="s">
        <v>490</v>
      </c>
      <c r="D15" s="19"/>
      <c r="E15" s="104" t="s">
        <v>461</v>
      </c>
      <c r="G15" s="43" t="s">
        <v>502</v>
      </c>
      <c r="H15" s="1" t="s">
        <v>507</v>
      </c>
      <c r="I15" s="104" t="s">
        <v>461</v>
      </c>
      <c r="K15" s="71">
        <v>8</v>
      </c>
      <c r="L15" s="104" t="s">
        <v>86</v>
      </c>
      <c r="P15" s="47">
        <v>5</v>
      </c>
      <c r="Q15" s="20">
        <v>8</v>
      </c>
      <c r="R15" s="20">
        <v>2</v>
      </c>
      <c r="S15" s="20">
        <v>2</v>
      </c>
      <c r="T15" s="20">
        <v>2</v>
      </c>
      <c r="U15" s="120" t="s">
        <v>470</v>
      </c>
      <c r="V15" s="20"/>
      <c r="W15" s="39" t="s">
        <v>85</v>
      </c>
      <c r="X15" s="54" t="s">
        <v>84</v>
      </c>
      <c r="Y15" s="54">
        <v>30</v>
      </c>
      <c r="Z15" s="55">
        <v>99999</v>
      </c>
      <c r="AB15" s="61">
        <v>8</v>
      </c>
      <c r="AC15" s="62">
        <v>4400</v>
      </c>
    </row>
    <row r="16" spans="2:43" x14ac:dyDescent="0.25">
      <c r="B16" s="39" t="s">
        <v>12</v>
      </c>
      <c r="C16" s="19" t="s">
        <v>288</v>
      </c>
      <c r="D16" s="19"/>
      <c r="E16" s="104" t="s">
        <v>461</v>
      </c>
      <c r="G16" s="43" t="s">
        <v>50</v>
      </c>
      <c r="H16" s="19" t="s">
        <v>327</v>
      </c>
      <c r="I16" s="104" t="s">
        <v>461</v>
      </c>
      <c r="K16" s="71">
        <v>9</v>
      </c>
      <c r="L16" s="104" t="s">
        <v>85</v>
      </c>
      <c r="P16" s="47">
        <v>6</v>
      </c>
      <c r="Q16" s="20">
        <v>7</v>
      </c>
      <c r="R16" s="20">
        <v>2</v>
      </c>
      <c r="S16" s="20">
        <v>2</v>
      </c>
      <c r="T16" s="20">
        <v>2</v>
      </c>
      <c r="U16" s="120" t="s">
        <v>470</v>
      </c>
      <c r="V16" s="20"/>
      <c r="W16" s="39" t="s">
        <v>86</v>
      </c>
      <c r="X16" s="54" t="s">
        <v>81</v>
      </c>
      <c r="Y16" s="54">
        <v>30</v>
      </c>
      <c r="Z16" s="55">
        <v>1500</v>
      </c>
      <c r="AB16" s="61">
        <v>9</v>
      </c>
      <c r="AC16" s="62">
        <v>4900</v>
      </c>
    </row>
    <row r="17" spans="2:29" x14ac:dyDescent="0.25">
      <c r="B17" s="39" t="s">
        <v>13</v>
      </c>
      <c r="C17" s="19" t="s">
        <v>289</v>
      </c>
      <c r="D17" s="19"/>
      <c r="E17" s="104" t="s">
        <v>461</v>
      </c>
      <c r="G17" s="43" t="s">
        <v>51</v>
      </c>
      <c r="H17" s="19" t="s">
        <v>328</v>
      </c>
      <c r="I17" s="104" t="s">
        <v>471</v>
      </c>
      <c r="K17" s="119">
        <v>10</v>
      </c>
      <c r="L17" s="108" t="s">
        <v>467</v>
      </c>
      <c r="P17" s="47">
        <v>6</v>
      </c>
      <c r="Q17" s="20">
        <v>8</v>
      </c>
      <c r="R17" s="20">
        <v>2</v>
      </c>
      <c r="S17" s="20">
        <v>2</v>
      </c>
      <c r="T17" s="20">
        <v>2</v>
      </c>
      <c r="U17" s="120" t="s">
        <v>470</v>
      </c>
      <c r="V17" s="20"/>
      <c r="W17" s="39" t="s">
        <v>86</v>
      </c>
      <c r="X17" s="54" t="s">
        <v>82</v>
      </c>
      <c r="Y17" s="54">
        <v>30</v>
      </c>
      <c r="Z17" s="55">
        <v>1500</v>
      </c>
      <c r="AB17" s="61">
        <v>10</v>
      </c>
      <c r="AC17" s="62">
        <v>5300</v>
      </c>
    </row>
    <row r="18" spans="2:29" x14ac:dyDescent="0.25">
      <c r="B18" s="39" t="s">
        <v>176</v>
      </c>
      <c r="C18" s="19" t="s">
        <v>287</v>
      </c>
      <c r="D18" s="19"/>
      <c r="E18" s="104" t="s">
        <v>461</v>
      </c>
      <c r="G18" s="43" t="s">
        <v>52</v>
      </c>
      <c r="H18" s="19" t="s">
        <v>329</v>
      </c>
      <c r="I18" s="104" t="s">
        <v>462</v>
      </c>
      <c r="P18" s="47">
        <v>10</v>
      </c>
      <c r="Q18" s="20">
        <v>7</v>
      </c>
      <c r="R18" s="20">
        <v>2</v>
      </c>
      <c r="S18" s="20">
        <v>2</v>
      </c>
      <c r="T18" s="20">
        <v>2</v>
      </c>
      <c r="U18" s="120" t="s">
        <v>470</v>
      </c>
      <c r="V18" s="20"/>
      <c r="W18" s="39" t="s">
        <v>86</v>
      </c>
      <c r="X18" s="54" t="s">
        <v>83</v>
      </c>
      <c r="Y18" s="54">
        <v>30</v>
      </c>
      <c r="Z18" s="55">
        <v>1500</v>
      </c>
      <c r="AB18" s="61">
        <v>11</v>
      </c>
      <c r="AC18" s="62">
        <v>4600</v>
      </c>
    </row>
    <row r="19" spans="2:29" x14ac:dyDescent="0.25">
      <c r="B19" s="39" t="s">
        <v>94</v>
      </c>
      <c r="C19" s="19" t="s">
        <v>290</v>
      </c>
      <c r="D19" s="19"/>
      <c r="E19" s="104" t="s">
        <v>461</v>
      </c>
      <c r="G19" s="43" t="s">
        <v>53</v>
      </c>
      <c r="H19" s="19" t="s">
        <v>330</v>
      </c>
      <c r="I19" s="104" t="s">
        <v>462</v>
      </c>
      <c r="P19" s="49">
        <v>10</v>
      </c>
      <c r="Q19" s="50">
        <v>8</v>
      </c>
      <c r="R19" s="50">
        <v>2</v>
      </c>
      <c r="S19" s="50">
        <v>2</v>
      </c>
      <c r="T19" s="50">
        <v>2</v>
      </c>
      <c r="U19" s="121" t="s">
        <v>470</v>
      </c>
      <c r="V19" s="20"/>
      <c r="W19" s="39" t="s">
        <v>86</v>
      </c>
      <c r="X19" s="54" t="s">
        <v>84</v>
      </c>
      <c r="Y19" s="54">
        <v>30</v>
      </c>
      <c r="Z19" s="55">
        <v>1500</v>
      </c>
      <c r="AB19" s="61">
        <v>12</v>
      </c>
      <c r="AC19" s="62">
        <v>5000</v>
      </c>
    </row>
    <row r="20" spans="2:29" x14ac:dyDescent="0.25">
      <c r="B20" s="39" t="s">
        <v>14</v>
      </c>
      <c r="C20" s="19" t="s">
        <v>291</v>
      </c>
      <c r="D20" s="19"/>
      <c r="E20" s="104" t="s">
        <v>461</v>
      </c>
      <c r="G20" s="43" t="s">
        <v>54</v>
      </c>
      <c r="H20" s="19" t="s">
        <v>331</v>
      </c>
      <c r="I20" s="104" t="s">
        <v>462</v>
      </c>
      <c r="W20" s="39" t="s">
        <v>87</v>
      </c>
      <c r="X20" s="54" t="s">
        <v>81</v>
      </c>
      <c r="Y20" s="54">
        <v>40</v>
      </c>
      <c r="Z20" s="55">
        <v>1500</v>
      </c>
      <c r="AB20" s="61">
        <v>13</v>
      </c>
      <c r="AC20" s="62">
        <v>5400</v>
      </c>
    </row>
    <row r="21" spans="2:29" x14ac:dyDescent="0.25">
      <c r="B21" s="39" t="s">
        <v>483</v>
      </c>
      <c r="C21" s="19" t="s">
        <v>495</v>
      </c>
      <c r="D21" s="19"/>
      <c r="E21" s="104" t="s">
        <v>461</v>
      </c>
      <c r="G21" s="43" t="s">
        <v>55</v>
      </c>
      <c r="H21" s="19" t="s">
        <v>332</v>
      </c>
      <c r="I21" s="104" t="s">
        <v>462</v>
      </c>
      <c r="W21" s="39" t="s">
        <v>87</v>
      </c>
      <c r="X21" s="54" t="s">
        <v>82</v>
      </c>
      <c r="Y21" s="54">
        <v>40</v>
      </c>
      <c r="Z21" s="55">
        <v>1500</v>
      </c>
      <c r="AB21" s="61">
        <v>14</v>
      </c>
      <c r="AC21" s="62">
        <v>5800</v>
      </c>
    </row>
    <row r="22" spans="2:29" x14ac:dyDescent="0.25">
      <c r="B22" s="39" t="s">
        <v>15</v>
      </c>
      <c r="C22" s="19" t="s">
        <v>292</v>
      </c>
      <c r="D22" s="19"/>
      <c r="E22" s="104" t="s">
        <v>461</v>
      </c>
      <c r="G22" s="44" t="s">
        <v>56</v>
      </c>
      <c r="H22" s="107" t="s">
        <v>333</v>
      </c>
      <c r="I22" s="108" t="s">
        <v>462</v>
      </c>
      <c r="P22" s="37" t="s">
        <v>41</v>
      </c>
      <c r="Q22" s="17" t="s">
        <v>42</v>
      </c>
      <c r="R22" s="38"/>
      <c r="W22" s="39" t="s">
        <v>87</v>
      </c>
      <c r="X22" s="54" t="s">
        <v>83</v>
      </c>
      <c r="Y22" s="54">
        <v>40</v>
      </c>
      <c r="Z22" s="55">
        <v>1500</v>
      </c>
      <c r="AB22" s="61">
        <v>15</v>
      </c>
      <c r="AC22" s="62">
        <v>6200</v>
      </c>
    </row>
    <row r="23" spans="2:29" x14ac:dyDescent="0.25">
      <c r="B23" s="39" t="s">
        <v>16</v>
      </c>
      <c r="C23" s="19" t="s">
        <v>293</v>
      </c>
      <c r="D23" s="19"/>
      <c r="E23" s="104" t="s">
        <v>461</v>
      </c>
      <c r="P23" s="43" t="s">
        <v>71</v>
      </c>
      <c r="Q23" s="19" t="s">
        <v>334</v>
      </c>
      <c r="R23" s="104"/>
      <c r="W23" s="39" t="s">
        <v>87</v>
      </c>
      <c r="X23" s="54" t="s">
        <v>84</v>
      </c>
      <c r="Y23" s="54">
        <v>40</v>
      </c>
      <c r="Z23" s="55">
        <v>1500</v>
      </c>
      <c r="AB23" s="61">
        <v>16</v>
      </c>
      <c r="AC23" s="62">
        <v>2900</v>
      </c>
    </row>
    <row r="24" spans="2:29" x14ac:dyDescent="0.25">
      <c r="B24" s="39" t="s">
        <v>58</v>
      </c>
      <c r="C24" s="19" t="s">
        <v>294</v>
      </c>
      <c r="D24" s="19"/>
      <c r="E24" s="104" t="s">
        <v>461</v>
      </c>
      <c r="P24" s="43" t="s">
        <v>72</v>
      </c>
      <c r="Q24" s="19" t="s">
        <v>335</v>
      </c>
      <c r="R24" s="104"/>
      <c r="W24" s="39" t="s">
        <v>88</v>
      </c>
      <c r="X24" s="54" t="s">
        <v>81</v>
      </c>
      <c r="Y24" s="54">
        <v>25</v>
      </c>
      <c r="Z24" s="55">
        <v>950</v>
      </c>
      <c r="AB24" s="61">
        <v>17</v>
      </c>
      <c r="AC24" s="62">
        <v>3300</v>
      </c>
    </row>
    <row r="25" spans="2:29" x14ac:dyDescent="0.25">
      <c r="B25" s="39" t="s">
        <v>17</v>
      </c>
      <c r="C25" s="19" t="s">
        <v>491</v>
      </c>
      <c r="D25" s="103"/>
      <c r="E25" s="104" t="s">
        <v>461</v>
      </c>
      <c r="P25" s="43" t="s">
        <v>73</v>
      </c>
      <c r="Q25" s="19" t="s">
        <v>336</v>
      </c>
      <c r="R25" s="104"/>
      <c r="W25" s="39" t="s">
        <v>88</v>
      </c>
      <c r="X25" s="54" t="s">
        <v>82</v>
      </c>
      <c r="Y25" s="54">
        <v>25</v>
      </c>
      <c r="Z25" s="55">
        <v>950</v>
      </c>
      <c r="AB25" s="61">
        <v>18</v>
      </c>
      <c r="AC25" s="62">
        <v>3700</v>
      </c>
    </row>
    <row r="26" spans="2:29" x14ac:dyDescent="0.25">
      <c r="B26" s="39" t="s">
        <v>18</v>
      </c>
      <c r="C26" s="19" t="s">
        <v>492</v>
      </c>
      <c r="D26" s="19"/>
      <c r="E26" s="104" t="s">
        <v>461</v>
      </c>
      <c r="P26" s="43" t="s">
        <v>74</v>
      </c>
      <c r="Q26" s="19" t="s">
        <v>337</v>
      </c>
      <c r="R26" s="104"/>
      <c r="W26" s="39" t="s">
        <v>88</v>
      </c>
      <c r="X26" s="54" t="s">
        <v>83</v>
      </c>
      <c r="Y26" s="54">
        <v>35</v>
      </c>
      <c r="Z26" s="55">
        <v>950</v>
      </c>
      <c r="AB26" s="61">
        <v>19</v>
      </c>
      <c r="AC26" s="62">
        <v>3900</v>
      </c>
    </row>
    <row r="27" spans="2:29" x14ac:dyDescent="0.25">
      <c r="B27" s="39" t="s">
        <v>60</v>
      </c>
      <c r="C27" s="19" t="s">
        <v>493</v>
      </c>
      <c r="D27" s="19"/>
      <c r="E27" s="104" t="s">
        <v>461</v>
      </c>
      <c r="P27" s="43" t="s">
        <v>75</v>
      </c>
      <c r="Q27" s="19" t="s">
        <v>339</v>
      </c>
      <c r="R27" s="104"/>
      <c r="W27" s="39" t="s">
        <v>88</v>
      </c>
      <c r="X27" s="54" t="s">
        <v>84</v>
      </c>
      <c r="Y27" s="54">
        <v>40</v>
      </c>
      <c r="Z27" s="55">
        <v>950</v>
      </c>
      <c r="AB27" s="61">
        <v>20</v>
      </c>
      <c r="AC27" s="62">
        <v>4300</v>
      </c>
    </row>
    <row r="28" spans="2:29" x14ac:dyDescent="0.25">
      <c r="B28" s="39" t="s">
        <v>59</v>
      </c>
      <c r="C28" s="19" t="s">
        <v>494</v>
      </c>
      <c r="D28" s="19"/>
      <c r="E28" s="104" t="s">
        <v>462</v>
      </c>
      <c r="P28" s="44" t="s">
        <v>76</v>
      </c>
      <c r="Q28" s="107" t="s">
        <v>338</v>
      </c>
      <c r="R28" s="108"/>
      <c r="W28" s="39" t="s">
        <v>89</v>
      </c>
      <c r="X28" s="54" t="s">
        <v>81</v>
      </c>
      <c r="Y28" s="54">
        <v>25</v>
      </c>
      <c r="Z28" s="55">
        <v>1000</v>
      </c>
      <c r="AB28" s="61">
        <v>21</v>
      </c>
      <c r="AC28" s="62">
        <v>3500</v>
      </c>
    </row>
    <row r="29" spans="2:29" x14ac:dyDescent="0.25">
      <c r="B29" s="41" t="s">
        <v>19</v>
      </c>
      <c r="C29" s="19" t="s">
        <v>484</v>
      </c>
      <c r="D29" s="19"/>
      <c r="E29" s="104" t="s">
        <v>461</v>
      </c>
      <c r="W29" s="39" t="s">
        <v>89</v>
      </c>
      <c r="X29" s="54" t="s">
        <v>82</v>
      </c>
      <c r="Y29" s="54">
        <v>25</v>
      </c>
      <c r="Z29" s="55">
        <v>1000</v>
      </c>
      <c r="AB29" s="61">
        <v>22</v>
      </c>
      <c r="AC29" s="62">
        <v>3200</v>
      </c>
    </row>
    <row r="30" spans="2:29" x14ac:dyDescent="0.25">
      <c r="B30" s="41" t="s">
        <v>20</v>
      </c>
      <c r="C30" s="19" t="s">
        <v>485</v>
      </c>
      <c r="D30" s="19"/>
      <c r="E30" s="104" t="s">
        <v>461</v>
      </c>
      <c r="W30" s="39" t="s">
        <v>89</v>
      </c>
      <c r="X30" s="54" t="s">
        <v>83</v>
      </c>
      <c r="Y30" s="54">
        <v>35</v>
      </c>
      <c r="Z30" s="55">
        <v>1000</v>
      </c>
      <c r="AB30" s="61">
        <v>23</v>
      </c>
      <c r="AC30" s="62">
        <v>3600</v>
      </c>
    </row>
    <row r="31" spans="2:29" x14ac:dyDescent="0.25">
      <c r="B31" s="40" t="s">
        <v>486</v>
      </c>
      <c r="C31" s="19" t="s">
        <v>468</v>
      </c>
      <c r="D31" s="19"/>
      <c r="E31" s="104" t="s">
        <v>461</v>
      </c>
      <c r="P31" s="19"/>
      <c r="W31" s="39" t="s">
        <v>89</v>
      </c>
      <c r="X31" s="54" t="s">
        <v>84</v>
      </c>
      <c r="Y31" s="54">
        <v>40</v>
      </c>
      <c r="Z31" s="55">
        <v>1000</v>
      </c>
      <c r="AB31" s="61">
        <v>24</v>
      </c>
      <c r="AC31" s="62">
        <v>4000</v>
      </c>
    </row>
    <row r="32" spans="2:29" x14ac:dyDescent="0.25">
      <c r="B32" s="39" t="s">
        <v>21</v>
      </c>
      <c r="C32" s="19" t="s">
        <v>454</v>
      </c>
      <c r="D32" s="19"/>
      <c r="E32" s="104" t="s">
        <v>471</v>
      </c>
      <c r="G32" s="1" t="s">
        <v>80</v>
      </c>
      <c r="H32" s="1">
        <v>0.9526</v>
      </c>
      <c r="I32" s="1">
        <v>1</v>
      </c>
      <c r="P32" s="19"/>
      <c r="W32" s="39" t="s">
        <v>90</v>
      </c>
      <c r="X32" s="54" t="s">
        <v>81</v>
      </c>
      <c r="Y32" s="54">
        <v>30</v>
      </c>
      <c r="Z32" s="55">
        <v>1200</v>
      </c>
      <c r="AB32" s="61">
        <v>25</v>
      </c>
      <c r="AC32" s="62">
        <v>4200</v>
      </c>
    </row>
    <row r="33" spans="2:34" x14ac:dyDescent="0.25">
      <c r="B33" s="39" t="s">
        <v>22</v>
      </c>
      <c r="C33" s="19" t="s">
        <v>455</v>
      </c>
      <c r="D33" s="19"/>
      <c r="E33" s="104" t="s">
        <v>471</v>
      </c>
      <c r="G33" s="1" t="s">
        <v>85</v>
      </c>
      <c r="H33" s="1">
        <v>0.9526</v>
      </c>
      <c r="I33" s="1">
        <v>1</v>
      </c>
      <c r="J33" s="1">
        <v>3</v>
      </c>
      <c r="K33" s="1">
        <v>3</v>
      </c>
      <c r="L33" s="1">
        <v>4.0460000000000003E-2</v>
      </c>
      <c r="M33" s="1">
        <v>1000</v>
      </c>
      <c r="N33" s="1">
        <v>2</v>
      </c>
      <c r="O33" s="1">
        <v>2</v>
      </c>
      <c r="P33" s="19"/>
      <c r="W33" s="39" t="s">
        <v>90</v>
      </c>
      <c r="X33" s="54" t="s">
        <v>82</v>
      </c>
      <c r="Y33" s="54">
        <v>35</v>
      </c>
      <c r="Z33" s="55">
        <v>1200</v>
      </c>
      <c r="AB33" s="61">
        <v>27</v>
      </c>
      <c r="AC33" s="62">
        <v>3800</v>
      </c>
    </row>
    <row r="34" spans="2:34" x14ac:dyDescent="0.25">
      <c r="B34" s="39" t="s">
        <v>61</v>
      </c>
      <c r="C34" s="19" t="s">
        <v>469</v>
      </c>
      <c r="D34" s="19"/>
      <c r="E34" s="104" t="s">
        <v>461</v>
      </c>
      <c r="G34" s="1" t="s">
        <v>86</v>
      </c>
      <c r="H34" s="1">
        <v>0.9526</v>
      </c>
      <c r="I34" s="54">
        <v>1</v>
      </c>
      <c r="J34" s="1">
        <v>3</v>
      </c>
      <c r="K34" s="1">
        <v>3</v>
      </c>
      <c r="L34" s="1">
        <v>4.0460000000000003E-2</v>
      </c>
      <c r="M34" s="1">
        <v>1000</v>
      </c>
      <c r="N34" s="1">
        <v>2</v>
      </c>
      <c r="O34" s="1">
        <v>2</v>
      </c>
      <c r="P34" s="19"/>
      <c r="W34" s="39" t="s">
        <v>90</v>
      </c>
      <c r="X34" s="54" t="s">
        <v>83</v>
      </c>
      <c r="Y34" s="54">
        <v>45</v>
      </c>
      <c r="Z34" s="55">
        <v>1200</v>
      </c>
      <c r="AB34" s="61">
        <v>28</v>
      </c>
      <c r="AC34" s="62">
        <v>4000</v>
      </c>
    </row>
    <row r="35" spans="2:34" x14ac:dyDescent="0.25">
      <c r="B35" s="39" t="s">
        <v>177</v>
      </c>
      <c r="C35" s="19" t="s">
        <v>295</v>
      </c>
      <c r="D35" s="19"/>
      <c r="E35" s="104" t="s">
        <v>471</v>
      </c>
      <c r="G35" s="1" t="s">
        <v>87</v>
      </c>
      <c r="H35" s="1">
        <v>0.9526</v>
      </c>
      <c r="I35" s="54">
        <v>1</v>
      </c>
      <c r="J35" s="1">
        <v>3</v>
      </c>
      <c r="K35" s="1">
        <v>3</v>
      </c>
      <c r="L35" s="1">
        <v>4.0460000000000003E-2</v>
      </c>
      <c r="M35" s="1">
        <v>1000</v>
      </c>
      <c r="N35" s="1">
        <v>2</v>
      </c>
      <c r="O35" s="1">
        <v>2</v>
      </c>
      <c r="W35" s="39" t="s">
        <v>90</v>
      </c>
      <c r="X35" s="54" t="s">
        <v>84</v>
      </c>
      <c r="Y35" s="54">
        <v>55</v>
      </c>
      <c r="Z35" s="55">
        <v>1200</v>
      </c>
      <c r="AB35" s="61">
        <v>30</v>
      </c>
      <c r="AC35" s="62">
        <v>99999</v>
      </c>
    </row>
    <row r="36" spans="2:34" x14ac:dyDescent="0.25">
      <c r="B36" s="39" t="s">
        <v>178</v>
      </c>
      <c r="C36" s="19" t="s">
        <v>296</v>
      </c>
      <c r="D36" s="19"/>
      <c r="E36" s="104" t="s">
        <v>471</v>
      </c>
      <c r="G36" s="1" t="s">
        <v>88</v>
      </c>
      <c r="H36" s="1">
        <v>0.9526</v>
      </c>
      <c r="I36" s="54">
        <v>1</v>
      </c>
      <c r="J36" s="1">
        <v>3</v>
      </c>
      <c r="K36" s="1">
        <v>3</v>
      </c>
      <c r="L36" s="1">
        <v>4.0460000000000003E-2</v>
      </c>
      <c r="M36" s="1">
        <v>1000</v>
      </c>
      <c r="N36" s="1">
        <v>2</v>
      </c>
      <c r="O36" s="1">
        <v>2</v>
      </c>
      <c r="W36" s="39" t="s">
        <v>91</v>
      </c>
      <c r="X36" s="54" t="s">
        <v>81</v>
      </c>
      <c r="Y36" s="54">
        <v>35</v>
      </c>
      <c r="Z36" s="55">
        <v>1600</v>
      </c>
      <c r="AB36" s="61">
        <v>41</v>
      </c>
      <c r="AC36" s="62">
        <v>1400</v>
      </c>
    </row>
    <row r="37" spans="2:34" x14ac:dyDescent="0.25">
      <c r="B37" s="39" t="s">
        <v>62</v>
      </c>
      <c r="C37" s="19" t="s">
        <v>297</v>
      </c>
      <c r="D37" s="19"/>
      <c r="E37" s="104" t="s">
        <v>471</v>
      </c>
      <c r="G37" s="1" t="s">
        <v>89</v>
      </c>
      <c r="H37" s="1">
        <v>0.9526</v>
      </c>
      <c r="I37" s="54">
        <v>1</v>
      </c>
      <c r="J37" s="19">
        <v>3</v>
      </c>
      <c r="K37" s="19">
        <v>3</v>
      </c>
      <c r="L37" s="19">
        <v>4.0460000000000003E-2</v>
      </c>
      <c r="M37" s="19">
        <v>1000</v>
      </c>
      <c r="N37" s="19">
        <v>2</v>
      </c>
      <c r="O37" s="19">
        <v>2</v>
      </c>
      <c r="W37" s="39" t="s">
        <v>91</v>
      </c>
      <c r="X37" s="54" t="s">
        <v>82</v>
      </c>
      <c r="Y37" s="54">
        <v>45</v>
      </c>
      <c r="Z37" s="55">
        <v>1600</v>
      </c>
      <c r="AB37" s="61">
        <v>42</v>
      </c>
      <c r="AC37" s="62">
        <v>1900</v>
      </c>
    </row>
    <row r="38" spans="2:34" x14ac:dyDescent="0.25">
      <c r="B38" s="39" t="s">
        <v>63</v>
      </c>
      <c r="C38" s="19" t="s">
        <v>298</v>
      </c>
      <c r="D38" s="19"/>
      <c r="E38" s="104" t="s">
        <v>471</v>
      </c>
      <c r="G38" s="1" t="s">
        <v>90</v>
      </c>
      <c r="H38" s="1">
        <v>0.9526</v>
      </c>
      <c r="I38" s="1">
        <v>1</v>
      </c>
      <c r="J38" s="19">
        <v>3</v>
      </c>
      <c r="K38" s="19">
        <v>3</v>
      </c>
      <c r="L38" s="19">
        <v>4.0460000000000003E-2</v>
      </c>
      <c r="M38" s="19">
        <v>1000</v>
      </c>
      <c r="N38" s="19">
        <v>2</v>
      </c>
      <c r="O38" s="19">
        <v>2</v>
      </c>
      <c r="W38" s="39" t="s">
        <v>91</v>
      </c>
      <c r="X38" s="54" t="s">
        <v>83</v>
      </c>
      <c r="Y38" s="54">
        <v>50</v>
      </c>
      <c r="Z38" s="55">
        <v>1600</v>
      </c>
      <c r="AB38" s="61">
        <v>51</v>
      </c>
      <c r="AC38" s="62">
        <v>99999</v>
      </c>
    </row>
    <row r="39" spans="2:34" x14ac:dyDescent="0.25">
      <c r="B39" s="39" t="s">
        <v>179</v>
      </c>
      <c r="C39" s="19" t="s">
        <v>299</v>
      </c>
      <c r="D39" s="19"/>
      <c r="E39" s="104" t="s">
        <v>461</v>
      </c>
      <c r="G39" s="1" t="s">
        <v>91</v>
      </c>
      <c r="H39" s="1">
        <v>0.9526</v>
      </c>
      <c r="I39" s="1">
        <v>1</v>
      </c>
      <c r="J39" s="19">
        <v>3</v>
      </c>
      <c r="K39" s="19">
        <v>3</v>
      </c>
      <c r="L39" s="19">
        <v>4.0460000000000003E-2</v>
      </c>
      <c r="M39" s="19">
        <v>1000</v>
      </c>
      <c r="N39" s="19">
        <v>2</v>
      </c>
      <c r="O39" s="19">
        <v>2</v>
      </c>
      <c r="W39" s="39" t="s">
        <v>91</v>
      </c>
      <c r="X39" s="54" t="s">
        <v>84</v>
      </c>
      <c r="Y39" s="54">
        <v>55</v>
      </c>
      <c r="Z39" s="55">
        <v>1600</v>
      </c>
      <c r="AB39" s="61">
        <v>52</v>
      </c>
      <c r="AC39" s="62">
        <v>99999</v>
      </c>
    </row>
    <row r="40" spans="2:34" x14ac:dyDescent="0.25">
      <c r="B40" s="39" t="s">
        <v>180</v>
      </c>
      <c r="C40" s="19" t="s">
        <v>300</v>
      </c>
      <c r="D40" s="19"/>
      <c r="E40" s="104" t="s">
        <v>461</v>
      </c>
      <c r="G40" s="115" t="s">
        <v>92</v>
      </c>
      <c r="H40" s="19">
        <v>1</v>
      </c>
      <c r="I40" s="1">
        <v>0.97499999999999998</v>
      </c>
      <c r="J40" s="19">
        <v>3</v>
      </c>
      <c r="K40" s="19">
        <v>3</v>
      </c>
      <c r="L40" s="19">
        <v>4.0460000000000003E-2</v>
      </c>
      <c r="M40" s="19">
        <v>1000</v>
      </c>
      <c r="N40" s="19">
        <v>2</v>
      </c>
      <c r="O40" s="19">
        <v>2</v>
      </c>
      <c r="W40" s="39" t="s">
        <v>92</v>
      </c>
      <c r="X40" s="54" t="s">
        <v>81</v>
      </c>
      <c r="Y40" s="54">
        <v>57</v>
      </c>
      <c r="Z40" s="55">
        <v>1990</v>
      </c>
      <c r="AB40" s="61">
        <v>61</v>
      </c>
      <c r="AC40" s="62">
        <v>1760</v>
      </c>
    </row>
    <row r="41" spans="2:34" x14ac:dyDescent="0.25">
      <c r="B41" s="40" t="s">
        <v>453</v>
      </c>
      <c r="C41" s="19" t="s">
        <v>322</v>
      </c>
      <c r="D41" s="19"/>
      <c r="E41" s="104" t="s">
        <v>461</v>
      </c>
      <c r="G41" s="54"/>
      <c r="H41" s="19">
        <v>0.9526</v>
      </c>
      <c r="I41" s="1">
        <v>1</v>
      </c>
      <c r="J41" s="1">
        <v>6.5</v>
      </c>
      <c r="K41" s="1">
        <v>6.3</v>
      </c>
      <c r="L41" s="1">
        <v>4.0460000000000003E-2</v>
      </c>
      <c r="M41" s="1">
        <v>1000</v>
      </c>
      <c r="N41" s="1">
        <v>2</v>
      </c>
      <c r="O41" s="1">
        <v>2</v>
      </c>
      <c r="W41" s="39" t="s">
        <v>92</v>
      </c>
      <c r="X41" s="54" t="s">
        <v>82</v>
      </c>
      <c r="Y41" s="54">
        <v>67</v>
      </c>
      <c r="Z41" s="55">
        <v>1990</v>
      </c>
      <c r="AB41" s="61">
        <v>70</v>
      </c>
      <c r="AC41" s="62">
        <v>4800</v>
      </c>
    </row>
    <row r="42" spans="2:34" ht="19.5" customHeight="1" x14ac:dyDescent="0.25">
      <c r="B42" s="40" t="s">
        <v>64</v>
      </c>
      <c r="C42" s="19" t="s">
        <v>301</v>
      </c>
      <c r="D42" s="19"/>
      <c r="E42" s="104" t="s">
        <v>461</v>
      </c>
      <c r="J42" s="1">
        <v>3</v>
      </c>
      <c r="K42" s="1">
        <v>3</v>
      </c>
      <c r="L42" s="1">
        <v>4.0460000000000003E-2</v>
      </c>
      <c r="M42" s="1">
        <v>1000</v>
      </c>
      <c r="N42" s="1">
        <v>2</v>
      </c>
      <c r="O42" s="1">
        <v>2</v>
      </c>
      <c r="W42" s="39" t="s">
        <v>92</v>
      </c>
      <c r="X42" s="54" t="s">
        <v>83</v>
      </c>
      <c r="Y42" s="54">
        <v>67</v>
      </c>
      <c r="Z42" s="55">
        <v>1990</v>
      </c>
      <c r="AB42" s="61">
        <v>71</v>
      </c>
      <c r="AC42" s="62">
        <v>5200</v>
      </c>
      <c r="AE42" s="273" t="s">
        <v>472</v>
      </c>
      <c r="AF42" s="274" t="s">
        <v>586</v>
      </c>
      <c r="AG42" s="274" t="s">
        <v>280</v>
      </c>
      <c r="AH42" s="275" t="s">
        <v>587</v>
      </c>
    </row>
    <row r="43" spans="2:34" ht="30" customHeight="1" x14ac:dyDescent="0.25">
      <c r="B43" s="40" t="s">
        <v>65</v>
      </c>
      <c r="C43" s="19" t="s">
        <v>302</v>
      </c>
      <c r="D43" s="19"/>
      <c r="E43" s="104" t="s">
        <v>461</v>
      </c>
      <c r="J43" s="19"/>
      <c r="K43" s="19"/>
      <c r="L43" s="19"/>
      <c r="M43" s="19"/>
      <c r="N43" s="19"/>
      <c r="O43" s="19"/>
      <c r="W43" s="56" t="s">
        <v>92</v>
      </c>
      <c r="X43" s="57" t="s">
        <v>84</v>
      </c>
      <c r="Y43" s="57">
        <v>67</v>
      </c>
      <c r="Z43" s="58">
        <v>1990</v>
      </c>
      <c r="AB43" s="61">
        <v>72</v>
      </c>
      <c r="AC43" s="62">
        <v>5600</v>
      </c>
      <c r="AE43" s="266" t="s">
        <v>473</v>
      </c>
      <c r="AF43" s="267" t="s">
        <v>588</v>
      </c>
      <c r="AG43" s="268" t="s">
        <v>589</v>
      </c>
      <c r="AH43" s="271"/>
    </row>
    <row r="44" spans="2:34" ht="30" customHeight="1" x14ac:dyDescent="0.25">
      <c r="B44" s="40" t="s">
        <v>66</v>
      </c>
      <c r="C44" s="19" t="s">
        <v>303</v>
      </c>
      <c r="D44" s="19"/>
      <c r="E44" s="104" t="s">
        <v>461</v>
      </c>
      <c r="J44" s="19"/>
      <c r="K44" s="19"/>
      <c r="L44" s="19"/>
      <c r="M44" s="19"/>
      <c r="N44" s="19"/>
      <c r="O44" s="19"/>
      <c r="AB44" s="61">
        <v>73</v>
      </c>
      <c r="AC44" s="62">
        <v>6000</v>
      </c>
      <c r="AE44" s="266" t="s">
        <v>474</v>
      </c>
      <c r="AF44" s="268">
        <v>30</v>
      </c>
      <c r="AG44" s="268" t="s">
        <v>475</v>
      </c>
      <c r="AH44" s="271" t="s">
        <v>476</v>
      </c>
    </row>
    <row r="45" spans="2:34" ht="30" customHeight="1" x14ac:dyDescent="0.25">
      <c r="B45" s="40" t="s">
        <v>67</v>
      </c>
      <c r="C45" s="19" t="s">
        <v>304</v>
      </c>
      <c r="D45" s="19"/>
      <c r="E45" s="104" t="s">
        <v>461</v>
      </c>
      <c r="AB45" s="61">
        <v>74</v>
      </c>
      <c r="AC45" s="62">
        <v>6400</v>
      </c>
      <c r="AE45" s="266" t="s">
        <v>477</v>
      </c>
      <c r="AF45" s="268" t="s">
        <v>590</v>
      </c>
      <c r="AG45" s="268" t="s">
        <v>589</v>
      </c>
      <c r="AH45" s="271"/>
    </row>
    <row r="46" spans="2:34" ht="30" customHeight="1" x14ac:dyDescent="0.25">
      <c r="B46" s="40" t="s">
        <v>68</v>
      </c>
      <c r="C46" s="19" t="s">
        <v>305</v>
      </c>
      <c r="D46" s="19"/>
      <c r="E46" s="104" t="s">
        <v>462</v>
      </c>
      <c r="V46" s="90" t="s">
        <v>279</v>
      </c>
      <c r="AB46" s="61">
        <v>75</v>
      </c>
      <c r="AC46" s="62">
        <v>5000</v>
      </c>
      <c r="AE46" s="266" t="s">
        <v>478</v>
      </c>
      <c r="AF46" s="268">
        <v>51</v>
      </c>
      <c r="AG46" s="268" t="s">
        <v>475</v>
      </c>
      <c r="AH46" s="271" t="s">
        <v>479</v>
      </c>
    </row>
    <row r="47" spans="2:34" ht="30" customHeight="1" x14ac:dyDescent="0.25">
      <c r="B47" s="40" t="s">
        <v>69</v>
      </c>
      <c r="C47" s="19" t="s">
        <v>306</v>
      </c>
      <c r="D47" s="19"/>
      <c r="E47" s="104" t="s">
        <v>462</v>
      </c>
      <c r="V47" s="89" t="s">
        <v>278</v>
      </c>
      <c r="W47" s="45" t="s">
        <v>81</v>
      </c>
      <c r="X47" s="18" t="s">
        <v>82</v>
      </c>
      <c r="Y47" s="18" t="s">
        <v>83</v>
      </c>
      <c r="Z47" s="46" t="s">
        <v>84</v>
      </c>
      <c r="AB47" s="61">
        <v>76</v>
      </c>
      <c r="AC47" s="62">
        <v>5400</v>
      </c>
      <c r="AE47" s="266" t="s">
        <v>480</v>
      </c>
      <c r="AF47" s="268">
        <v>52</v>
      </c>
      <c r="AG47" s="268" t="s">
        <v>475</v>
      </c>
      <c r="AH47" s="271" t="s">
        <v>479</v>
      </c>
    </row>
    <row r="48" spans="2:34" ht="30" customHeight="1" x14ac:dyDescent="0.25">
      <c r="B48" s="40" t="s">
        <v>25</v>
      </c>
      <c r="C48" s="19" t="s">
        <v>309</v>
      </c>
      <c r="D48" s="19"/>
      <c r="E48" s="104" t="s">
        <v>462</v>
      </c>
      <c r="V48" s="87" t="s">
        <v>80</v>
      </c>
      <c r="W48" s="31">
        <f>INDEX($Y$8:$Y$43,(ROWS(W$48:W48)-1)*4+COLUMNS($W48:W48),1)</f>
        <v>25</v>
      </c>
      <c r="X48" s="31">
        <f>INDEX($Y$8:$Y$43,(ROWS(X$48:X48)-1)*4+COLUMNS($W48:X48),1)</f>
        <v>25</v>
      </c>
      <c r="Y48" s="31">
        <f>INDEX($Y$8:$Y$43,(ROWS(Y$48:Y48)-1)*4+COLUMNS($W48:Y48),1)</f>
        <v>30</v>
      </c>
      <c r="Z48" s="62">
        <f>INDEX($Y$8:$Y$43,(ROWS(Z$48:Z48)-1)*4+COLUMNS($W48:Z48),1)</f>
        <v>35</v>
      </c>
      <c r="AB48" s="61">
        <v>77</v>
      </c>
      <c r="AC48" s="62">
        <v>6600</v>
      </c>
      <c r="AE48" s="266" t="s">
        <v>591</v>
      </c>
      <c r="AF48" s="268">
        <v>61</v>
      </c>
      <c r="AG48" s="268" t="s">
        <v>592</v>
      </c>
      <c r="AH48" s="271" t="s">
        <v>593</v>
      </c>
    </row>
    <row r="49" spans="2:34" ht="30" customHeight="1" x14ac:dyDescent="0.25">
      <c r="B49" s="40" t="s">
        <v>26</v>
      </c>
      <c r="C49" s="19" t="s">
        <v>310</v>
      </c>
      <c r="D49" s="19"/>
      <c r="E49" s="104" t="s">
        <v>462</v>
      </c>
      <c r="V49" s="87" t="s">
        <v>85</v>
      </c>
      <c r="W49" s="20">
        <f>INDEX($Y$8:$Y$43,(ROWS(W$48:W49)-1)*4+COLUMNS($W49:W49),1)</f>
        <v>30</v>
      </c>
      <c r="X49" s="20">
        <f>INDEX($Y$8:$Y$43,(ROWS(X$48:X49)-1)*4+COLUMNS($W49:X49),1)</f>
        <v>30</v>
      </c>
      <c r="Y49" s="20">
        <f>INDEX($Y$8:$Y$43,(ROWS(Y$48:Y49)-1)*4+COLUMNS($W49:Y49),1)</f>
        <v>30</v>
      </c>
      <c r="Z49" s="48">
        <f>INDEX($Y$8:$Y$43,(ROWS(Z$48:Z49)-1)*4+COLUMNS($W49:Z49),1)</f>
        <v>30</v>
      </c>
      <c r="AB49" s="61">
        <v>78</v>
      </c>
      <c r="AC49" s="62">
        <v>5000</v>
      </c>
      <c r="AE49" s="266" t="s">
        <v>481</v>
      </c>
      <c r="AF49" s="268">
        <v>101</v>
      </c>
      <c r="AG49" s="268" t="s">
        <v>475</v>
      </c>
      <c r="AH49" s="271"/>
    </row>
    <row r="50" spans="2:34" ht="30" customHeight="1" x14ac:dyDescent="0.25">
      <c r="B50" s="40" t="s">
        <v>23</v>
      </c>
      <c r="C50" s="19" t="s">
        <v>307</v>
      </c>
      <c r="D50" s="19"/>
      <c r="E50" s="104" t="s">
        <v>462</v>
      </c>
      <c r="V50" s="87" t="s">
        <v>86</v>
      </c>
      <c r="W50" s="20">
        <f>INDEX($Y$8:$Y$43,(ROWS(W$48:W50)-1)*4+COLUMNS($W50:W50),1)</f>
        <v>30</v>
      </c>
      <c r="X50" s="20">
        <f>INDEX($Y$8:$Y$43,(ROWS(X$48:X50)-1)*4+COLUMNS($W50:X50),1)</f>
        <v>30</v>
      </c>
      <c r="Y50" s="20">
        <f>INDEX($Y$8:$Y$43,(ROWS(Y$48:Y50)-1)*4+COLUMNS($W50:Y50),1)</f>
        <v>30</v>
      </c>
      <c r="Z50" s="48">
        <f>INDEX($Y$8:$Y$43,(ROWS(Z$48:Z50)-1)*4+COLUMNS($W50:Z50),1)</f>
        <v>30</v>
      </c>
      <c r="AB50" s="61">
        <v>79</v>
      </c>
      <c r="AC50" s="62">
        <v>5400</v>
      </c>
      <c r="AE50" s="269" t="s">
        <v>482</v>
      </c>
      <c r="AF50" s="270">
        <v>102</v>
      </c>
      <c r="AG50" s="270" t="s">
        <v>475</v>
      </c>
      <c r="AH50" s="272"/>
    </row>
    <row r="51" spans="2:34" ht="15" customHeight="1" x14ac:dyDescent="0.25">
      <c r="B51" s="40" t="s">
        <v>24</v>
      </c>
      <c r="C51" s="19" t="s">
        <v>308</v>
      </c>
      <c r="D51" s="19"/>
      <c r="E51" s="104" t="s">
        <v>462</v>
      </c>
      <c r="V51" s="87" t="s">
        <v>87</v>
      </c>
      <c r="W51" s="20">
        <f>INDEX($Y$8:$Y$43,(ROWS(W$48:W51)-1)*4+COLUMNS($W51:W51),1)</f>
        <v>40</v>
      </c>
      <c r="X51" s="20">
        <f>INDEX($Y$8:$Y$43,(ROWS(X$48:X51)-1)*4+COLUMNS($W51:X51),1)</f>
        <v>40</v>
      </c>
      <c r="Y51" s="20">
        <f>INDEX($Y$8:$Y$43,(ROWS(Y$48:Y51)-1)*4+COLUMNS($W51:Y51),1)</f>
        <v>40</v>
      </c>
      <c r="Z51" s="48">
        <f>INDEX($Y$8:$Y$43,(ROWS(Z$48:Z51)-1)*4+COLUMNS($W51:Z51),1)</f>
        <v>40</v>
      </c>
      <c r="AB51" s="61">
        <v>80</v>
      </c>
      <c r="AC51" s="62">
        <v>5800</v>
      </c>
    </row>
    <row r="52" spans="2:34" x14ac:dyDescent="0.25">
      <c r="B52" s="40" t="s">
        <v>40</v>
      </c>
      <c r="C52" s="19" t="s">
        <v>452</v>
      </c>
      <c r="D52" s="19"/>
      <c r="E52" s="104" t="s">
        <v>462</v>
      </c>
      <c r="V52" s="87" t="s">
        <v>88</v>
      </c>
      <c r="W52" s="20">
        <f>INDEX($Y$8:$Y$43,(ROWS(W$48:W52)-1)*4+COLUMNS($W52:W52),1)</f>
        <v>25</v>
      </c>
      <c r="X52" s="20">
        <f>INDEX($Y$8:$Y$43,(ROWS(X$48:X52)-1)*4+COLUMNS($W52:X52),1)</f>
        <v>25</v>
      </c>
      <c r="Y52" s="20">
        <f>INDEX($Y$8:$Y$43,(ROWS(Y$48:Y52)-1)*4+COLUMNS($W52:Y52),1)</f>
        <v>35</v>
      </c>
      <c r="Z52" s="48">
        <f>INDEX($Y$8:$Y$43,(ROWS(Z$48:Z52)-1)*4+COLUMNS($W52:Z52),1)</f>
        <v>40</v>
      </c>
      <c r="AB52" s="61">
        <v>81</v>
      </c>
      <c r="AC52" s="62">
        <v>6200</v>
      </c>
    </row>
    <row r="53" spans="2:34" x14ac:dyDescent="0.25">
      <c r="B53" s="40" t="s">
        <v>27</v>
      </c>
      <c r="C53" s="19" t="s">
        <v>311</v>
      </c>
      <c r="D53" s="19"/>
      <c r="E53" s="104" t="s">
        <v>462</v>
      </c>
      <c r="V53" s="87" t="s">
        <v>89</v>
      </c>
      <c r="W53" s="20">
        <f>INDEX($Y$8:$Y$43,(ROWS(W$48:W53)-1)*4+COLUMNS($W53:W53),1)</f>
        <v>25</v>
      </c>
      <c r="X53" s="20">
        <f>INDEX($Y$8:$Y$43,(ROWS(X$48:X53)-1)*4+COLUMNS($W53:X53),1)</f>
        <v>25</v>
      </c>
      <c r="Y53" s="20">
        <f>INDEX($Y$8:$Y$43,(ROWS(Y$48:Y53)-1)*4+COLUMNS($W53:Y53),1)</f>
        <v>35</v>
      </c>
      <c r="Z53" s="48">
        <f>INDEX($Y$8:$Y$43,(ROWS(Z$48:Z53)-1)*4+COLUMNS($W53:Z53),1)</f>
        <v>40</v>
      </c>
      <c r="AB53" s="61">
        <v>82</v>
      </c>
      <c r="AC53" s="62">
        <v>6600</v>
      </c>
    </row>
    <row r="54" spans="2:34" x14ac:dyDescent="0.25">
      <c r="B54" s="40" t="s">
        <v>28</v>
      </c>
      <c r="C54" s="19" t="s">
        <v>312</v>
      </c>
      <c r="D54" s="19"/>
      <c r="E54" s="104" t="s">
        <v>462</v>
      </c>
      <c r="V54" s="87" t="s">
        <v>90</v>
      </c>
      <c r="W54" s="20">
        <f>INDEX($Y$8:$Y$43,(ROWS(W$48:W54)-1)*4+COLUMNS($W54:W54),1)</f>
        <v>30</v>
      </c>
      <c r="X54" s="20">
        <f>INDEX($Y$8:$Y$43,(ROWS(X$48:X54)-1)*4+COLUMNS($W54:X54),1)</f>
        <v>35</v>
      </c>
      <c r="Y54" s="20">
        <f>INDEX($Y$8:$Y$43,(ROWS(Y$48:Y54)-1)*4+COLUMNS($W54:Y54),1)</f>
        <v>45</v>
      </c>
      <c r="Z54" s="48">
        <f>INDEX($Y$8:$Y$43,(ROWS(Z$48:Z54)-1)*4+COLUMNS($W54:Z54),1)</f>
        <v>55</v>
      </c>
      <c r="AB54" s="61">
        <v>83</v>
      </c>
      <c r="AC54" s="62">
        <v>5200</v>
      </c>
    </row>
    <row r="55" spans="2:34" x14ac:dyDescent="0.25">
      <c r="B55" s="40" t="s">
        <v>29</v>
      </c>
      <c r="C55" s="19" t="s">
        <v>313</v>
      </c>
      <c r="D55" s="19"/>
      <c r="E55" s="104" t="s">
        <v>462</v>
      </c>
      <c r="V55" s="87" t="s">
        <v>91</v>
      </c>
      <c r="W55" s="20">
        <f>INDEX($Y$8:$Y$43,(ROWS(W$48:W55)-1)*4+COLUMNS($W55:W55),1)</f>
        <v>35</v>
      </c>
      <c r="X55" s="20">
        <f>INDEX($Y$8:$Y$43,(ROWS(X$48:X55)-1)*4+COLUMNS($W55:X55),1)</f>
        <v>45</v>
      </c>
      <c r="Y55" s="20">
        <f>INDEX($Y$8:$Y$43,(ROWS(Y$48:Y55)-1)*4+COLUMNS($W55:Y55),1)</f>
        <v>50</v>
      </c>
      <c r="Z55" s="48">
        <f>INDEX($Y$8:$Y$43,(ROWS(Z$48:Z55)-1)*4+COLUMNS($W55:Z55),1)</f>
        <v>55</v>
      </c>
      <c r="AB55" s="61">
        <v>84</v>
      </c>
      <c r="AC55" s="62">
        <v>5600</v>
      </c>
    </row>
    <row r="56" spans="2:34" x14ac:dyDescent="0.25">
      <c r="B56" s="40" t="s">
        <v>30</v>
      </c>
      <c r="C56" s="19" t="s">
        <v>314</v>
      </c>
      <c r="D56" s="19"/>
      <c r="E56" s="104" t="s">
        <v>462</v>
      </c>
      <c r="V56" s="88" t="s">
        <v>92</v>
      </c>
      <c r="W56" s="50">
        <f>INDEX($Y$8:$Y$43,(ROWS(W$48:W56)-1)*4+COLUMNS($W56:W56),1)</f>
        <v>57</v>
      </c>
      <c r="X56" s="50">
        <f>INDEX($Y$8:$Y$43,(ROWS(X$48:X56)-1)*4+COLUMNS($W56:X56),1)</f>
        <v>67</v>
      </c>
      <c r="Y56" s="50">
        <f>INDEX($Y$8:$Y$43,(ROWS(Y$48:Y56)-1)*4+COLUMNS($W56:Y56),1)</f>
        <v>67</v>
      </c>
      <c r="Z56" s="51">
        <f>INDEX($Y$8:$Y$43,(ROWS(Z$48:Z56)-1)*4+COLUMNS($W56:Z56),1)</f>
        <v>67</v>
      </c>
      <c r="AB56" s="61">
        <v>85</v>
      </c>
      <c r="AC56" s="62">
        <v>6800</v>
      </c>
    </row>
    <row r="57" spans="2:34" x14ac:dyDescent="0.25">
      <c r="B57" s="40" t="s">
        <v>37</v>
      </c>
      <c r="C57" s="19" t="s">
        <v>456</v>
      </c>
      <c r="D57" s="19"/>
      <c r="E57" s="104" t="s">
        <v>462</v>
      </c>
      <c r="AB57" s="61">
        <v>86</v>
      </c>
      <c r="AC57" s="62">
        <v>7200</v>
      </c>
    </row>
    <row r="58" spans="2:34" x14ac:dyDescent="0.25">
      <c r="B58" s="40" t="s">
        <v>38</v>
      </c>
      <c r="C58" s="19" t="s">
        <v>457</v>
      </c>
      <c r="D58" s="19"/>
      <c r="E58" s="104" t="s">
        <v>462</v>
      </c>
      <c r="AB58" s="61">
        <v>101</v>
      </c>
      <c r="AC58" s="62">
        <v>99999</v>
      </c>
    </row>
    <row r="59" spans="2:34" x14ac:dyDescent="0.25">
      <c r="B59" s="40" t="s">
        <v>31</v>
      </c>
      <c r="C59" s="19" t="s">
        <v>315</v>
      </c>
      <c r="D59" s="19"/>
      <c r="E59" s="104" t="s">
        <v>462</v>
      </c>
      <c r="V59" s="90" t="s">
        <v>280</v>
      </c>
      <c r="AB59" s="63">
        <v>102</v>
      </c>
      <c r="AC59" s="64">
        <v>99999</v>
      </c>
    </row>
    <row r="60" spans="2:34" x14ac:dyDescent="0.25">
      <c r="B60" s="40" t="s">
        <v>32</v>
      </c>
      <c r="C60" s="19" t="s">
        <v>316</v>
      </c>
      <c r="D60" s="19"/>
      <c r="E60" s="104" t="s">
        <v>462</v>
      </c>
      <c r="V60" s="89" t="s">
        <v>278</v>
      </c>
      <c r="W60" s="45" t="s">
        <v>81</v>
      </c>
      <c r="X60" s="18" t="s">
        <v>82</v>
      </c>
      <c r="Y60" s="18" t="s">
        <v>83</v>
      </c>
      <c r="Z60" s="46" t="s">
        <v>84</v>
      </c>
    </row>
    <row r="61" spans="2:34" x14ac:dyDescent="0.25">
      <c r="B61" s="40" t="s">
        <v>35</v>
      </c>
      <c r="C61" s="19" t="s">
        <v>319</v>
      </c>
      <c r="D61" s="19"/>
      <c r="E61" s="104" t="s">
        <v>462</v>
      </c>
      <c r="V61" s="87" t="s">
        <v>80</v>
      </c>
      <c r="W61" s="31">
        <f>INDEX($Z$8:$Z$43,(ROWS(W$61:W61)-1)*4+COLUMNS($W61:W61),1)</f>
        <v>450</v>
      </c>
      <c r="X61" s="31">
        <f>INDEX($Z$8:$Z$43,(ROWS(X$61:X61)-1)*4+COLUMNS($W61:X61),1)</f>
        <v>450</v>
      </c>
      <c r="Y61" s="31">
        <f>INDEX($Z$8:$Z$43,(ROWS(Y$61:Y61)-1)*4+COLUMNS($W61:Y61),1)</f>
        <v>450</v>
      </c>
      <c r="Z61" s="62">
        <f>INDEX($Z$8:$Z$43,(ROWS(Z$61:Z61)-1)*4+COLUMNS($W61:Z61),1)</f>
        <v>450</v>
      </c>
    </row>
    <row r="62" spans="2:34" x14ac:dyDescent="0.25">
      <c r="B62" s="40" t="s">
        <v>36</v>
      </c>
      <c r="C62" s="19" t="s">
        <v>320</v>
      </c>
      <c r="D62" s="19"/>
      <c r="E62" s="104" t="s">
        <v>462</v>
      </c>
      <c r="V62" s="87" t="s">
        <v>85</v>
      </c>
      <c r="W62" s="20">
        <f>INDEX($Z$8:$Z$43,(ROWS(W$61:W62)-1)*4+COLUMNS($W62:W62),1)</f>
        <v>99999</v>
      </c>
      <c r="X62" s="20">
        <f>INDEX($Z$8:$Z$43,(ROWS(X$61:X62)-1)*4+COLUMNS($W62:X62),1)</f>
        <v>99999</v>
      </c>
      <c r="Y62" s="20">
        <f>INDEX($Z$8:$Z$43,(ROWS(Y$61:Y62)-1)*4+COLUMNS($W62:Y62),1)</f>
        <v>99999</v>
      </c>
      <c r="Z62" s="48">
        <f>INDEX($Z$8:$Z$43,(ROWS(Z$61:Z62)-1)*4+COLUMNS($W62:Z62),1)</f>
        <v>99999</v>
      </c>
    </row>
    <row r="63" spans="2:34" x14ac:dyDescent="0.25">
      <c r="B63" s="40" t="s">
        <v>33</v>
      </c>
      <c r="C63" s="19" t="s">
        <v>317</v>
      </c>
      <c r="D63" s="19"/>
      <c r="E63" s="104" t="s">
        <v>462</v>
      </c>
      <c r="V63" s="87" t="s">
        <v>86</v>
      </c>
      <c r="W63" s="20">
        <f>INDEX($Z$8:$Z$43,(ROWS(W$61:W63)-1)*4+COLUMNS($W63:W63),1)</f>
        <v>1500</v>
      </c>
      <c r="X63" s="20">
        <f>INDEX($Z$8:$Z$43,(ROWS(X$61:X63)-1)*4+COLUMNS($W63:X63),1)</f>
        <v>1500</v>
      </c>
      <c r="Y63" s="20">
        <f>INDEX($Z$8:$Z$43,(ROWS(Y$61:Y63)-1)*4+COLUMNS($W63:Y63),1)</f>
        <v>1500</v>
      </c>
      <c r="Z63" s="48">
        <f>INDEX($Z$8:$Z$43,(ROWS(Z$61:Z63)-1)*4+COLUMNS($W63:Z63),1)</f>
        <v>1500</v>
      </c>
    </row>
    <row r="64" spans="2:34" x14ac:dyDescent="0.25">
      <c r="B64" s="40" t="s">
        <v>34</v>
      </c>
      <c r="C64" s="19" t="s">
        <v>318</v>
      </c>
      <c r="D64" s="19"/>
      <c r="E64" s="104" t="s">
        <v>462</v>
      </c>
      <c r="V64" s="87" t="s">
        <v>87</v>
      </c>
      <c r="W64" s="20">
        <f>INDEX($Z$8:$Z$43,(ROWS(W$61:W64)-1)*4+COLUMNS($W64:W64),1)</f>
        <v>1500</v>
      </c>
      <c r="X64" s="20">
        <f>INDEX($Z$8:$Z$43,(ROWS(X$61:X64)-1)*4+COLUMNS($W64:X64),1)</f>
        <v>1500</v>
      </c>
      <c r="Y64" s="20">
        <f>INDEX($Z$8:$Z$43,(ROWS(Y$61:Y64)-1)*4+COLUMNS($W64:Y64),1)</f>
        <v>1500</v>
      </c>
      <c r="Z64" s="48">
        <f>INDEX($Z$8:$Z$43,(ROWS(Z$61:Z64)-1)*4+COLUMNS($W64:Z64),1)</f>
        <v>1500</v>
      </c>
    </row>
    <row r="65" spans="2:38" x14ac:dyDescent="0.25">
      <c r="B65" s="43" t="s">
        <v>496</v>
      </c>
      <c r="C65" s="19" t="s">
        <v>499</v>
      </c>
      <c r="D65" s="19"/>
      <c r="E65" s="104" t="s">
        <v>462</v>
      </c>
      <c r="V65" s="87" t="s">
        <v>88</v>
      </c>
      <c r="W65" s="20">
        <f>INDEX($Z$8:$Z$43,(ROWS(W$61:W65)-1)*4+COLUMNS($W65:W65),1)</f>
        <v>950</v>
      </c>
      <c r="X65" s="20">
        <f>INDEX($Z$8:$Z$43,(ROWS(X$61:X65)-1)*4+COLUMNS($W65:X65),1)</f>
        <v>950</v>
      </c>
      <c r="Y65" s="20">
        <f>INDEX($Z$8:$Z$43,(ROWS(Y$61:Y65)-1)*4+COLUMNS($W65:Y65),1)</f>
        <v>950</v>
      </c>
      <c r="Z65" s="48">
        <f>INDEX($Z$8:$Z$43,(ROWS(Z$61:Z65)-1)*4+COLUMNS($W65:Z65),1)</f>
        <v>950</v>
      </c>
    </row>
    <row r="66" spans="2:38" x14ac:dyDescent="0.25">
      <c r="B66" s="43" t="s">
        <v>497</v>
      </c>
      <c r="C66" s="19" t="s">
        <v>500</v>
      </c>
      <c r="D66" s="19"/>
      <c r="E66" s="104" t="s">
        <v>462</v>
      </c>
      <c r="V66" s="87" t="s">
        <v>89</v>
      </c>
      <c r="W66" s="20">
        <f>INDEX($Z$8:$Z$43,(ROWS(W$61:W66)-1)*4+COLUMNS($W66:W66),1)</f>
        <v>1000</v>
      </c>
      <c r="X66" s="20">
        <f>INDEX($Z$8:$Z$43,(ROWS(X$61:X66)-1)*4+COLUMNS($W66:X66),1)</f>
        <v>1000</v>
      </c>
      <c r="Y66" s="20">
        <f>INDEX($Z$8:$Z$43,(ROWS(Y$61:Y66)-1)*4+COLUMNS($W66:Y66),1)</f>
        <v>1000</v>
      </c>
      <c r="Z66" s="48">
        <f>INDEX($Z$8:$Z$43,(ROWS(Z$61:Z66)-1)*4+COLUMNS($W66:Z66),1)</f>
        <v>1000</v>
      </c>
      <c r="AE66" s="1" t="s">
        <v>487</v>
      </c>
    </row>
    <row r="67" spans="2:38" x14ac:dyDescent="0.25">
      <c r="B67" s="56" t="s">
        <v>39</v>
      </c>
      <c r="C67" s="107" t="s">
        <v>321</v>
      </c>
      <c r="D67" s="107"/>
      <c r="E67" s="108" t="s">
        <v>461</v>
      </c>
      <c r="V67" s="87" t="s">
        <v>90</v>
      </c>
      <c r="W67" s="20">
        <f>INDEX($Z$8:$Z$43,(ROWS(W$61:W67)-1)*4+COLUMNS($W67:W67),1)</f>
        <v>1200</v>
      </c>
      <c r="X67" s="20">
        <f>INDEX($Z$8:$Z$43,(ROWS(X$61:X67)-1)*4+COLUMNS($W67:X67),1)</f>
        <v>1200</v>
      </c>
      <c r="Y67" s="20">
        <f>INDEX($Z$8:$Z$43,(ROWS(Y$61:Y67)-1)*4+COLUMNS($W67:Y67),1)</f>
        <v>1200</v>
      </c>
      <c r="Z67" s="48">
        <f>INDEX($Z$8:$Z$43,(ROWS(Z$61:Z67)-1)*4+COLUMNS($W67:Z67),1)</f>
        <v>1200</v>
      </c>
    </row>
    <row r="68" spans="2:38" x14ac:dyDescent="0.25">
      <c r="B68" s="1" t="s">
        <v>498</v>
      </c>
      <c r="V68" s="87" t="s">
        <v>91</v>
      </c>
      <c r="W68" s="20">
        <f>INDEX($Z$8:$Z$43,(ROWS(W$61:W68)-1)*4+COLUMNS($W68:W68),1)</f>
        <v>1600</v>
      </c>
      <c r="X68" s="20">
        <f>INDEX($Z$8:$Z$43,(ROWS(X$61:X68)-1)*4+COLUMNS($W68:X68),1)</f>
        <v>1600</v>
      </c>
      <c r="Y68" s="20">
        <f>INDEX($Z$8:$Z$43,(ROWS(Y$61:Y68)-1)*4+COLUMNS($W68:Y68),1)</f>
        <v>1600</v>
      </c>
      <c r="Z68" s="48">
        <f>INDEX($Z$8:$Z$43,(ROWS(Z$61:Z68)-1)*4+COLUMNS($W68:Z68),1)</f>
        <v>1600</v>
      </c>
    </row>
    <row r="69" spans="2:38" x14ac:dyDescent="0.25">
      <c r="V69" s="88" t="s">
        <v>92</v>
      </c>
      <c r="W69" s="50">
        <f>INDEX($Z$8:$Z$43,(ROWS(W$61:W69)-1)*4+COLUMNS($W69:W69),1)</f>
        <v>1990</v>
      </c>
      <c r="X69" s="50">
        <f>INDEX($Z$8:$Z$43,(ROWS(X$61:X69)-1)*4+COLUMNS($W69:X69),1)</f>
        <v>1990</v>
      </c>
      <c r="Y69" s="50">
        <f>INDEX($Z$8:$Z$43,(ROWS(Y$61:Y69)-1)*4+COLUMNS($W69:Y69),1)</f>
        <v>1990</v>
      </c>
      <c r="Z69" s="51">
        <f>INDEX($Z$8:$Z$43,(ROWS(Z$61:Z69)-1)*4+COLUMNS($W69:Z69),1)</f>
        <v>1990</v>
      </c>
      <c r="AE69" s="137" t="s">
        <v>472</v>
      </c>
      <c r="AF69" s="138" t="s">
        <v>280</v>
      </c>
      <c r="AG69" s="134"/>
    </row>
    <row r="70" spans="2:38" ht="28.5" customHeight="1" x14ac:dyDescent="0.25">
      <c r="AE70" s="139" t="s">
        <v>473</v>
      </c>
      <c r="AF70" s="140" t="s">
        <v>488</v>
      </c>
      <c r="AG70" s="135"/>
    </row>
    <row r="71" spans="2:38" x14ac:dyDescent="0.25">
      <c r="AE71" s="130" t="s">
        <v>474</v>
      </c>
      <c r="AF71" s="131" t="s">
        <v>476</v>
      </c>
      <c r="AG71" s="136"/>
    </row>
    <row r="72" spans="2:38" ht="27.75" customHeight="1" x14ac:dyDescent="0.25">
      <c r="AE72" s="128" t="s">
        <v>477</v>
      </c>
      <c r="AF72" s="129" t="s">
        <v>488</v>
      </c>
      <c r="AG72" s="135"/>
      <c r="AK72" s="1">
        <v>28</v>
      </c>
      <c r="AL72" s="1">
        <f>86-70</f>
        <v>16</v>
      </c>
    </row>
    <row r="73" spans="2:38" x14ac:dyDescent="0.25">
      <c r="AE73" s="130" t="s">
        <v>478</v>
      </c>
      <c r="AF73" s="131" t="s">
        <v>479</v>
      </c>
      <c r="AG73" s="136"/>
      <c r="AK73" s="1">
        <v>1</v>
      </c>
    </row>
    <row r="74" spans="2:38" ht="27" customHeight="1" x14ac:dyDescent="0.25">
      <c r="AE74" s="130" t="s">
        <v>480</v>
      </c>
      <c r="AF74" s="131" t="s">
        <v>479</v>
      </c>
      <c r="AG74" s="136"/>
      <c r="AK74" s="1">
        <f>3</f>
        <v>3</v>
      </c>
    </row>
    <row r="75" spans="2:38" ht="15.75" customHeight="1" x14ac:dyDescent="0.25">
      <c r="AE75" s="128" t="s">
        <v>481</v>
      </c>
      <c r="AF75" s="129" t="s">
        <v>475</v>
      </c>
      <c r="AG75" s="135"/>
    </row>
    <row r="76" spans="2:38" x14ac:dyDescent="0.25">
      <c r="AE76" s="132" t="s">
        <v>482</v>
      </c>
      <c r="AF76" s="133" t="s">
        <v>475</v>
      </c>
      <c r="AG76" s="135"/>
    </row>
    <row r="77" spans="2:38" x14ac:dyDescent="0.25">
      <c r="AE77" s="122"/>
      <c r="AF77" s="123"/>
      <c r="AG77" s="123"/>
    </row>
    <row r="78" spans="2:38" ht="27.75" customHeight="1" x14ac:dyDescent="0.25">
      <c r="AE78" s="122"/>
      <c r="AF78" s="123"/>
      <c r="AG78" s="123"/>
      <c r="AK78" s="1">
        <v>1</v>
      </c>
    </row>
    <row r="79" spans="2:38" x14ac:dyDescent="0.25">
      <c r="AE79" s="124"/>
      <c r="AF79" s="125"/>
      <c r="AG79" s="125"/>
      <c r="AK79" s="1">
        <v>1</v>
      </c>
    </row>
    <row r="80" spans="2:38" x14ac:dyDescent="0.25">
      <c r="AE80" s="122"/>
      <c r="AF80" s="123"/>
      <c r="AG80" s="123"/>
    </row>
    <row r="81" spans="31:37" ht="12.75" customHeight="1" x14ac:dyDescent="0.25">
      <c r="AE81" s="122"/>
      <c r="AF81" s="123"/>
      <c r="AG81" s="123"/>
      <c r="AK81" s="1">
        <v>1</v>
      </c>
    </row>
    <row r="82" spans="31:37" x14ac:dyDescent="0.25">
      <c r="AE82" s="122"/>
      <c r="AF82" s="123"/>
      <c r="AG82" s="123"/>
      <c r="AK82" s="1">
        <v>1</v>
      </c>
    </row>
    <row r="83" spans="31:37" x14ac:dyDescent="0.25">
      <c r="AE83" s="124"/>
      <c r="AF83" s="125"/>
      <c r="AG83" s="125"/>
    </row>
    <row r="84" spans="31:37" x14ac:dyDescent="0.25">
      <c r="AE84" s="127"/>
      <c r="AF84" s="126"/>
      <c r="AG84" s="123"/>
      <c r="AK84" s="1">
        <v>1</v>
      </c>
    </row>
    <row r="85" spans="31:37" ht="13.5" customHeight="1" x14ac:dyDescent="0.25"/>
    <row r="86" spans="31:37" x14ac:dyDescent="0.25">
      <c r="AK86" s="1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89"/>
  <sheetViews>
    <sheetView topLeftCell="D12" zoomScale="85" zoomScaleNormal="85" workbookViewId="0">
      <selection activeCell="D18" sqref="D18"/>
    </sheetView>
  </sheetViews>
  <sheetFormatPr defaultRowHeight="12.75" x14ac:dyDescent="0.2"/>
  <cols>
    <col min="1" max="1" width="3.28515625" style="298" customWidth="1"/>
    <col min="2" max="12" width="12.28515625" style="298" customWidth="1"/>
    <col min="13" max="16384" width="9.140625" style="298"/>
  </cols>
  <sheetData>
    <row r="1" spans="2:12" ht="13.5" thickBot="1" x14ac:dyDescent="0.25"/>
    <row r="2" spans="2:12" ht="34.5" customHeight="1" thickBot="1" x14ac:dyDescent="0.25">
      <c r="B2" s="325"/>
      <c r="C2" s="325" t="s">
        <v>746</v>
      </c>
      <c r="D2" s="327"/>
      <c r="E2" s="325"/>
      <c r="F2" s="327"/>
      <c r="G2" s="325"/>
      <c r="H2" s="327"/>
      <c r="I2" s="305"/>
      <c r="J2" s="330"/>
      <c r="K2" s="306"/>
      <c r="L2" s="329"/>
    </row>
    <row r="3" spans="2:12" ht="34.5" customHeight="1" thickBot="1" x14ac:dyDescent="0.25">
      <c r="B3" s="305" t="s">
        <v>745</v>
      </c>
      <c r="C3" s="322"/>
      <c r="D3" s="328" t="s">
        <v>743</v>
      </c>
      <c r="E3" s="325" t="s">
        <v>741</v>
      </c>
      <c r="F3" s="327" t="s">
        <v>738</v>
      </c>
      <c r="G3" s="325" t="s">
        <v>734</v>
      </c>
      <c r="H3" s="327" t="s">
        <v>744</v>
      </c>
      <c r="I3" s="325" t="s">
        <v>723</v>
      </c>
      <c r="J3" s="326" t="s">
        <v>716</v>
      </c>
      <c r="K3" s="325" t="s">
        <v>709</v>
      </c>
      <c r="L3" s="325" t="s">
        <v>700</v>
      </c>
    </row>
    <row r="4" spans="2:12" ht="34.5" customHeight="1" thickBot="1" x14ac:dyDescent="0.3">
      <c r="B4" s="325"/>
      <c r="C4" s="325" t="s">
        <v>743</v>
      </c>
      <c r="D4" s="324" t="s">
        <v>742</v>
      </c>
      <c r="E4" s="323"/>
      <c r="F4" s="322"/>
      <c r="G4" s="321"/>
      <c r="H4" s="322"/>
      <c r="I4" s="321"/>
      <c r="J4" s="319"/>
      <c r="K4" s="320"/>
      <c r="L4" s="319"/>
    </row>
    <row r="5" spans="2:12" ht="34.5" customHeight="1" thickBot="1" x14ac:dyDescent="0.3">
      <c r="B5" s="305"/>
      <c r="C5" s="305" t="s">
        <v>741</v>
      </c>
      <c r="D5" s="310" t="s">
        <v>740</v>
      </c>
      <c r="E5" s="304" t="s">
        <v>739</v>
      </c>
      <c r="F5" s="317"/>
      <c r="G5" s="314"/>
      <c r="H5" s="318"/>
      <c r="I5" s="314"/>
      <c r="J5" s="313"/>
      <c r="K5" s="309"/>
      <c r="L5" s="307"/>
    </row>
    <row r="6" spans="2:12" ht="34.5" customHeight="1" thickBot="1" x14ac:dyDescent="0.3">
      <c r="B6" s="311"/>
      <c r="C6" s="311" t="s">
        <v>738</v>
      </c>
      <c r="D6" s="315" t="s">
        <v>737</v>
      </c>
      <c r="E6" s="316" t="s">
        <v>736</v>
      </c>
      <c r="F6" s="315" t="s">
        <v>735</v>
      </c>
      <c r="G6" s="314"/>
      <c r="H6" s="318"/>
      <c r="I6" s="314"/>
      <c r="J6" s="313"/>
      <c r="K6" s="312"/>
      <c r="L6" s="307"/>
    </row>
    <row r="7" spans="2:12" ht="34.5" customHeight="1" thickBot="1" x14ac:dyDescent="0.3">
      <c r="B7" s="305"/>
      <c r="C7" s="305" t="s">
        <v>734</v>
      </c>
      <c r="D7" s="310" t="s">
        <v>733</v>
      </c>
      <c r="E7" s="304" t="s">
        <v>732</v>
      </c>
      <c r="F7" s="310" t="s">
        <v>731</v>
      </c>
      <c r="G7" s="304" t="s">
        <v>730</v>
      </c>
      <c r="H7" s="317"/>
      <c r="I7" s="314"/>
      <c r="J7" s="313"/>
      <c r="K7" s="309"/>
      <c r="L7" s="307"/>
    </row>
    <row r="8" spans="2:12" ht="34.5" customHeight="1" thickBot="1" x14ac:dyDescent="0.3">
      <c r="B8" s="311"/>
      <c r="C8" s="311" t="s">
        <v>729</v>
      </c>
      <c r="D8" s="315" t="s">
        <v>728</v>
      </c>
      <c r="E8" s="316" t="s">
        <v>727</v>
      </c>
      <c r="F8" s="315" t="s">
        <v>726</v>
      </c>
      <c r="G8" s="316" t="s">
        <v>725</v>
      </c>
      <c r="H8" s="315" t="s">
        <v>724</v>
      </c>
      <c r="I8" s="314"/>
      <c r="J8" s="313"/>
      <c r="K8" s="312"/>
      <c r="L8" s="307"/>
    </row>
    <row r="9" spans="2:12" ht="34.5" customHeight="1" thickBot="1" x14ac:dyDescent="0.3">
      <c r="B9" s="305"/>
      <c r="C9" s="305" t="s">
        <v>723</v>
      </c>
      <c r="D9" s="310" t="s">
        <v>722</v>
      </c>
      <c r="E9" s="304" t="s">
        <v>721</v>
      </c>
      <c r="F9" s="310" t="s">
        <v>720</v>
      </c>
      <c r="G9" s="304" t="s">
        <v>719</v>
      </c>
      <c r="H9" s="310" t="s">
        <v>718</v>
      </c>
      <c r="I9" s="304" t="s">
        <v>717</v>
      </c>
      <c r="J9" s="307"/>
      <c r="K9" s="309"/>
      <c r="L9" s="307"/>
    </row>
    <row r="10" spans="2:12" ht="34.5" customHeight="1" thickBot="1" x14ac:dyDescent="0.3">
      <c r="B10" s="311"/>
      <c r="C10" s="305" t="s">
        <v>716</v>
      </c>
      <c r="D10" s="304" t="s">
        <v>715</v>
      </c>
      <c r="E10" s="310" t="s">
        <v>714</v>
      </c>
      <c r="F10" s="304" t="s">
        <v>713</v>
      </c>
      <c r="G10" s="304" t="s">
        <v>712</v>
      </c>
      <c r="H10" s="310" t="s">
        <v>712</v>
      </c>
      <c r="I10" s="304" t="s">
        <v>711</v>
      </c>
      <c r="J10" s="304" t="s">
        <v>710</v>
      </c>
      <c r="K10" s="309"/>
      <c r="L10" s="307"/>
    </row>
    <row r="11" spans="2:12" ht="34.5" customHeight="1" thickBot="1" x14ac:dyDescent="0.3">
      <c r="B11" s="308"/>
      <c r="C11" s="305" t="s">
        <v>709</v>
      </c>
      <c r="D11" s="304" t="s">
        <v>708</v>
      </c>
      <c r="E11" s="304" t="s">
        <v>707</v>
      </c>
      <c r="F11" s="304" t="s">
        <v>706</v>
      </c>
      <c r="G11" s="304" t="s">
        <v>705</v>
      </c>
      <c r="H11" s="304" t="s">
        <v>704</v>
      </c>
      <c r="I11" s="304" t="s">
        <v>703</v>
      </c>
      <c r="J11" s="304" t="s">
        <v>702</v>
      </c>
      <c r="K11" s="304" t="s">
        <v>701</v>
      </c>
      <c r="L11" s="307"/>
    </row>
    <row r="12" spans="2:12" ht="34.5" customHeight="1" thickBot="1" x14ac:dyDescent="0.25">
      <c r="B12" s="306"/>
      <c r="C12" s="305" t="s">
        <v>700</v>
      </c>
      <c r="D12" s="304" t="s">
        <v>699</v>
      </c>
      <c r="E12" s="304" t="s">
        <v>698</v>
      </c>
      <c r="F12" s="304" t="s">
        <v>697</v>
      </c>
      <c r="G12" s="304" t="s">
        <v>696</v>
      </c>
      <c r="H12" s="304" t="s">
        <v>695</v>
      </c>
      <c r="I12" s="304" t="s">
        <v>694</v>
      </c>
      <c r="J12" s="304" t="s">
        <v>693</v>
      </c>
      <c r="K12" s="304" t="s">
        <v>692</v>
      </c>
      <c r="L12" s="303" t="s">
        <v>691</v>
      </c>
    </row>
    <row r="13" spans="2:12" ht="34.5" customHeight="1" x14ac:dyDescent="0.2"/>
    <row r="14" spans="2:12" x14ac:dyDescent="0.2">
      <c r="B14" s="298" t="s">
        <v>327</v>
      </c>
      <c r="C14" s="298">
        <v>3</v>
      </c>
      <c r="D14" s="298" t="s">
        <v>690</v>
      </c>
    </row>
    <row r="15" spans="2:12" x14ac:dyDescent="0.2">
      <c r="B15" s="298" t="s">
        <v>667</v>
      </c>
      <c r="C15" s="302">
        <v>33000</v>
      </c>
    </row>
    <row r="16" spans="2:12" x14ac:dyDescent="0.2">
      <c r="B16" s="298" t="s">
        <v>666</v>
      </c>
      <c r="C16" s="298">
        <f>C15/10</f>
        <v>3300</v>
      </c>
    </row>
    <row r="18" spans="2:9" x14ac:dyDescent="0.2">
      <c r="B18" s="298" t="s">
        <v>689</v>
      </c>
      <c r="C18" s="298" t="s">
        <v>688</v>
      </c>
      <c r="D18" s="298" t="s">
        <v>686</v>
      </c>
      <c r="E18" s="298" t="s">
        <v>687</v>
      </c>
      <c r="F18" s="298" t="s">
        <v>686</v>
      </c>
      <c r="G18" s="298" t="s">
        <v>678</v>
      </c>
      <c r="H18" s="298" t="s">
        <v>677</v>
      </c>
      <c r="I18" s="298" t="s">
        <v>676</v>
      </c>
    </row>
    <row r="19" spans="2:9" x14ac:dyDescent="0.2">
      <c r="B19" s="298" t="s">
        <v>684</v>
      </c>
      <c r="C19" s="298">
        <f>2/3</f>
        <v>0.66666666666666663</v>
      </c>
      <c r="D19" s="298">
        <f>C19*C16</f>
        <v>2200</v>
      </c>
      <c r="E19" s="298">
        <v>0.5</v>
      </c>
      <c r="F19" s="298">
        <f>E19*D19</f>
        <v>1100</v>
      </c>
      <c r="G19" s="298">
        <f>1/6</f>
        <v>0.16666666666666666</v>
      </c>
      <c r="H19" s="298">
        <f>4/6</f>
        <v>0.66666666666666663</v>
      </c>
      <c r="I19" s="298">
        <f>1/6</f>
        <v>0.16666666666666666</v>
      </c>
    </row>
    <row r="20" spans="2:9" x14ac:dyDescent="0.2">
      <c r="B20" s="298" t="s">
        <v>683</v>
      </c>
      <c r="C20" s="298">
        <f>1/3</f>
        <v>0.33333333333333331</v>
      </c>
      <c r="D20" s="298">
        <f>C16*C20</f>
        <v>1100</v>
      </c>
      <c r="E20" s="298">
        <v>0.5</v>
      </c>
      <c r="F20" s="298">
        <f>E20*D20</f>
        <v>550</v>
      </c>
      <c r="G20" s="298">
        <f>1/4</f>
        <v>0.25</v>
      </c>
      <c r="H20" s="298">
        <f>2/4</f>
        <v>0.5</v>
      </c>
      <c r="I20" s="298">
        <f>1/4</f>
        <v>0.25</v>
      </c>
    </row>
    <row r="22" spans="2:9" x14ac:dyDescent="0.2">
      <c r="B22" s="298" t="s">
        <v>685</v>
      </c>
      <c r="G22" s="298" t="s">
        <v>678</v>
      </c>
      <c r="H22" s="298" t="s">
        <v>677</v>
      </c>
      <c r="I22" s="298" t="s">
        <v>676</v>
      </c>
    </row>
    <row r="23" spans="2:9" x14ac:dyDescent="0.2">
      <c r="B23" s="298" t="s">
        <v>684</v>
      </c>
      <c r="G23" s="300">
        <f t="shared" ref="G23:I24" si="0">G19*$F19</f>
        <v>183.33333333333331</v>
      </c>
      <c r="H23" s="300">
        <f t="shared" si="0"/>
        <v>733.33333333333326</v>
      </c>
      <c r="I23" s="300">
        <f t="shared" si="0"/>
        <v>183.33333333333331</v>
      </c>
    </row>
    <row r="24" spans="2:9" x14ac:dyDescent="0.2">
      <c r="B24" s="298" t="s">
        <v>683</v>
      </c>
      <c r="G24" s="300">
        <f t="shared" si="0"/>
        <v>137.5</v>
      </c>
      <c r="H24" s="300">
        <f t="shared" si="0"/>
        <v>275</v>
      </c>
      <c r="I24" s="300">
        <f t="shared" si="0"/>
        <v>137.5</v>
      </c>
    </row>
    <row r="26" spans="2:9" x14ac:dyDescent="0.2">
      <c r="B26" s="298" t="s">
        <v>682</v>
      </c>
      <c r="G26" s="298" t="s">
        <v>678</v>
      </c>
      <c r="H26" s="298" t="s">
        <v>677</v>
      </c>
      <c r="I26" s="298" t="s">
        <v>676</v>
      </c>
    </row>
    <row r="27" spans="2:9" x14ac:dyDescent="0.2">
      <c r="B27" s="298" t="s">
        <v>681</v>
      </c>
      <c r="C27" s="298">
        <v>90</v>
      </c>
      <c r="G27" s="301">
        <f t="shared" ref="G27:I28" si="1">G23/$C$28</f>
        <v>4.583333333333333</v>
      </c>
      <c r="H27" s="301">
        <f t="shared" si="1"/>
        <v>18.333333333333332</v>
      </c>
      <c r="I27" s="301">
        <f t="shared" si="1"/>
        <v>4.583333333333333</v>
      </c>
    </row>
    <row r="28" spans="2:9" x14ac:dyDescent="0.2">
      <c r="B28" s="298" t="s">
        <v>680</v>
      </c>
      <c r="C28" s="298">
        <f>60*60/C27</f>
        <v>40</v>
      </c>
      <c r="G28" s="301">
        <f t="shared" si="1"/>
        <v>3.4375</v>
      </c>
      <c r="H28" s="301">
        <f t="shared" si="1"/>
        <v>6.875</v>
      </c>
      <c r="I28" s="301">
        <f t="shared" si="1"/>
        <v>3.4375</v>
      </c>
    </row>
    <row r="30" spans="2:9" x14ac:dyDescent="0.2">
      <c r="B30" s="298" t="s">
        <v>679</v>
      </c>
      <c r="G30" s="298" t="s">
        <v>678</v>
      </c>
      <c r="H30" s="298" t="s">
        <v>677</v>
      </c>
      <c r="I30" s="298" t="s">
        <v>676</v>
      </c>
    </row>
    <row r="31" spans="2:9" x14ac:dyDescent="0.2">
      <c r="B31" s="298" t="s">
        <v>675</v>
      </c>
      <c r="C31" s="298">
        <v>2</v>
      </c>
      <c r="G31" s="300">
        <f t="shared" ref="G31:I32" si="2">G27*$C$31</f>
        <v>9.1666666666666661</v>
      </c>
      <c r="H31" s="300">
        <f t="shared" si="2"/>
        <v>36.666666666666664</v>
      </c>
      <c r="I31" s="300">
        <f t="shared" si="2"/>
        <v>9.1666666666666661</v>
      </c>
    </row>
    <row r="32" spans="2:9" x14ac:dyDescent="0.2">
      <c r="G32" s="300">
        <f t="shared" si="2"/>
        <v>6.875</v>
      </c>
      <c r="H32" s="300">
        <f t="shared" si="2"/>
        <v>13.75</v>
      </c>
      <c r="I32" s="300">
        <f t="shared" si="2"/>
        <v>6.875</v>
      </c>
    </row>
    <row r="33" spans="2:47" x14ac:dyDescent="0.2">
      <c r="B33" s="298" t="s">
        <v>674</v>
      </c>
    </row>
    <row r="34" spans="2:47" x14ac:dyDescent="0.2">
      <c r="B34" s="298" t="s">
        <v>673</v>
      </c>
      <c r="C34" s="300">
        <f>H31+I31</f>
        <v>45.833333333333329</v>
      </c>
    </row>
    <row r="35" spans="2:47" x14ac:dyDescent="0.2">
      <c r="B35" s="298" t="s">
        <v>672</v>
      </c>
      <c r="C35" s="300">
        <f>G31</f>
        <v>9.1666666666666661</v>
      </c>
    </row>
    <row r="36" spans="2:47" x14ac:dyDescent="0.2">
      <c r="B36" s="298" t="s">
        <v>671</v>
      </c>
      <c r="C36" s="300">
        <f>H32+I32</f>
        <v>20.625</v>
      </c>
    </row>
    <row r="37" spans="2:47" x14ac:dyDescent="0.2">
      <c r="B37" s="298" t="s">
        <v>670</v>
      </c>
      <c r="C37" s="300">
        <f>G32</f>
        <v>6.875</v>
      </c>
    </row>
    <row r="38" spans="2:47" x14ac:dyDescent="0.2">
      <c r="B38" s="298" t="s">
        <v>669</v>
      </c>
      <c r="C38" s="300">
        <f>SUM(C34:C37)</f>
        <v>82.5</v>
      </c>
    </row>
    <row r="39" spans="2:47" x14ac:dyDescent="0.2">
      <c r="B39" s="298" t="s">
        <v>626</v>
      </c>
      <c r="C39" s="300">
        <f>C27-C38</f>
        <v>7.5</v>
      </c>
    </row>
    <row r="40" spans="2:47" x14ac:dyDescent="0.2">
      <c r="B40" s="298" t="s">
        <v>668</v>
      </c>
      <c r="C40" s="300">
        <f>C39/4</f>
        <v>1.875</v>
      </c>
    </row>
    <row r="44" spans="2:47" x14ac:dyDescent="0.2">
      <c r="B44" s="298" t="s">
        <v>327</v>
      </c>
      <c r="C44" s="298" t="s">
        <v>667</v>
      </c>
      <c r="D44" s="298" t="s">
        <v>624</v>
      </c>
      <c r="E44" s="298" t="s">
        <v>666</v>
      </c>
      <c r="F44" s="298" t="s">
        <v>665</v>
      </c>
      <c r="G44" s="298" t="s">
        <v>664</v>
      </c>
      <c r="H44" s="298" t="s">
        <v>663</v>
      </c>
      <c r="I44" s="298" t="s">
        <v>662</v>
      </c>
      <c r="J44" s="298" t="s">
        <v>661</v>
      </c>
      <c r="K44" s="298" t="s">
        <v>660</v>
      </c>
      <c r="L44" s="298" t="s">
        <v>659</v>
      </c>
      <c r="M44" s="298" t="s">
        <v>658</v>
      </c>
      <c r="N44" s="298" t="s">
        <v>657</v>
      </c>
      <c r="O44" s="298" t="s">
        <v>656</v>
      </c>
      <c r="P44" s="298" t="s">
        <v>655</v>
      </c>
      <c r="Q44" s="298" t="s">
        <v>654</v>
      </c>
      <c r="R44" s="298" t="s">
        <v>653</v>
      </c>
      <c r="S44" s="298" t="s">
        <v>652</v>
      </c>
      <c r="T44" s="298" t="s">
        <v>651</v>
      </c>
      <c r="U44" s="298" t="s">
        <v>650</v>
      </c>
      <c r="V44" s="298" t="s">
        <v>649</v>
      </c>
      <c r="W44" s="298" t="s">
        <v>648</v>
      </c>
      <c r="X44" s="298" t="s">
        <v>647</v>
      </c>
      <c r="Y44" s="298" t="s">
        <v>646</v>
      </c>
      <c r="Z44" s="298" t="s">
        <v>645</v>
      </c>
      <c r="AA44" s="298" t="s">
        <v>644</v>
      </c>
      <c r="AB44" s="298" t="s">
        <v>643</v>
      </c>
      <c r="AC44" s="298" t="s">
        <v>642</v>
      </c>
      <c r="AD44" s="298" t="s">
        <v>641</v>
      </c>
      <c r="AE44" s="298" t="s">
        <v>640</v>
      </c>
      <c r="AF44" s="298" t="s">
        <v>639</v>
      </c>
      <c r="AG44" s="298" t="s">
        <v>638</v>
      </c>
      <c r="AH44" s="298" t="s">
        <v>637</v>
      </c>
      <c r="AI44" s="298" t="s">
        <v>636</v>
      </c>
      <c r="AJ44" s="298" t="s">
        <v>635</v>
      </c>
      <c r="AK44" s="298" t="s">
        <v>634</v>
      </c>
      <c r="AL44" s="298" t="s">
        <v>633</v>
      </c>
      <c r="AM44" s="298" t="s">
        <v>632</v>
      </c>
      <c r="AN44" s="298" t="s">
        <v>631</v>
      </c>
      <c r="AO44" s="298" t="s">
        <v>630</v>
      </c>
      <c r="AP44" s="298" t="s">
        <v>629</v>
      </c>
      <c r="AQ44" s="298" t="s">
        <v>628</v>
      </c>
      <c r="AR44" s="298" t="s">
        <v>627</v>
      </c>
      <c r="AS44" s="298" t="s">
        <v>626</v>
      </c>
      <c r="AT44" s="298" t="s">
        <v>625</v>
      </c>
      <c r="AU44" s="298" t="s">
        <v>624</v>
      </c>
    </row>
    <row r="45" spans="2:47" x14ac:dyDescent="0.2">
      <c r="B45" s="298">
        <v>1</v>
      </c>
      <c r="C45" s="298">
        <v>23000</v>
      </c>
      <c r="D45" s="299">
        <f t="shared" ref="D45:D89" si="3">AU45</f>
        <v>0.88749999999999996</v>
      </c>
      <c r="E45" s="298">
        <f t="shared" ref="E45:E89" si="4">C45/10</f>
        <v>2300</v>
      </c>
      <c r="F45" s="298">
        <v>0</v>
      </c>
      <c r="G45" s="298">
        <v>1</v>
      </c>
      <c r="H45" s="298">
        <v>0</v>
      </c>
      <c r="I45" s="298">
        <v>0</v>
      </c>
      <c r="J45" s="298">
        <v>1</v>
      </c>
      <c r="K45" s="298">
        <v>0</v>
      </c>
      <c r="L45" s="298">
        <v>0.6</v>
      </c>
      <c r="M45" s="298">
        <f t="shared" ref="M45:M89" si="5">1-L45</f>
        <v>0.4</v>
      </c>
      <c r="N45" s="298">
        <v>0.5</v>
      </c>
      <c r="O45" s="298">
        <f t="shared" ref="O45:O89" si="6">1/6</f>
        <v>0.16666666666666666</v>
      </c>
      <c r="P45" s="298">
        <f t="shared" ref="P45:P89" si="7">4/6</f>
        <v>0.66666666666666663</v>
      </c>
      <c r="Q45" s="298">
        <f t="shared" ref="Q45:Q89" si="8">1/6</f>
        <v>0.16666666666666666</v>
      </c>
      <c r="R45" s="298">
        <f t="shared" ref="R45:R89" si="9">1/4</f>
        <v>0.25</v>
      </c>
      <c r="S45" s="298">
        <f t="shared" ref="S45:S89" si="10">1/2</f>
        <v>0.5</v>
      </c>
      <c r="T45" s="298">
        <f t="shared" ref="T45:T89" si="11">1/4</f>
        <v>0.25</v>
      </c>
      <c r="U45" s="300">
        <f t="shared" ref="U45:U89" si="12">$E45*$L45*$N45*O45</f>
        <v>115</v>
      </c>
      <c r="V45" s="300">
        <f t="shared" ref="V45:V89" si="13">$E45*$L45*$N45*P45</f>
        <v>460</v>
      </c>
      <c r="W45" s="300">
        <f t="shared" ref="W45:W89" si="14">$E45*$L45*$N45*Q45</f>
        <v>115</v>
      </c>
      <c r="X45" s="300">
        <f t="shared" ref="X45:X89" si="15">$E45*$M45*$N45*R45</f>
        <v>115</v>
      </c>
      <c r="Y45" s="300">
        <f t="shared" ref="Y45:Y89" si="16">$E45*$M45*$N45*S45</f>
        <v>230</v>
      </c>
      <c r="Z45" s="300">
        <f t="shared" ref="Z45:Z89" si="17">$E45*$M45*$N45*T45</f>
        <v>115</v>
      </c>
      <c r="AA45" s="300">
        <f t="shared" ref="AA45:AA89" si="18">U45/(3600/90)</f>
        <v>2.875</v>
      </c>
      <c r="AB45" s="300">
        <f t="shared" ref="AB45:AB89" si="19">V45/(3600/90)</f>
        <v>11.5</v>
      </c>
      <c r="AC45" s="300">
        <f t="shared" ref="AC45:AC89" si="20">W45/(3600/90)</f>
        <v>2.875</v>
      </c>
      <c r="AD45" s="300">
        <f t="shared" ref="AD45:AD89" si="21">X45/(3600/90)</f>
        <v>2.875</v>
      </c>
      <c r="AE45" s="300">
        <f t="shared" ref="AE45:AE89" si="22">Y45/(3600/90)</f>
        <v>5.75</v>
      </c>
      <c r="AF45" s="300">
        <f t="shared" ref="AF45:AF89" si="23">Z45/(3600/90)</f>
        <v>2.875</v>
      </c>
      <c r="AG45" s="300">
        <f t="shared" ref="AG45:AG89" si="24">AA45*2</f>
        <v>5.75</v>
      </c>
      <c r="AH45" s="300">
        <f t="shared" ref="AH45:AH89" si="25">AB45*2</f>
        <v>23</v>
      </c>
      <c r="AI45" s="300">
        <f t="shared" ref="AI45:AI89" si="26">AC45*2</f>
        <v>5.75</v>
      </c>
      <c r="AJ45" s="300">
        <f t="shared" ref="AJ45:AJ89" si="27">AD45*2</f>
        <v>5.75</v>
      </c>
      <c r="AK45" s="300">
        <f t="shared" ref="AK45:AK89" si="28">AE45*2</f>
        <v>11.5</v>
      </c>
      <c r="AL45" s="300">
        <f t="shared" ref="AL45:AL89" si="29">AF45*2</f>
        <v>5.75</v>
      </c>
      <c r="AM45" s="300">
        <f t="shared" ref="AM45:AM89" si="30">(AH45+IF(H45=0,AI45,0)+IF(F45=0,AG45,0))/G45</f>
        <v>34.5</v>
      </c>
      <c r="AN45" s="300">
        <f t="shared" ref="AN45:AN89" si="31">AG45*F45</f>
        <v>0</v>
      </c>
      <c r="AO45" s="300">
        <f t="shared" ref="AO45:AO89" si="32">(AK45+IF(K45=0,AL45,0)+IF(I45=0,AJ45,0))/J45</f>
        <v>23</v>
      </c>
      <c r="AP45" s="300">
        <f t="shared" ref="AP45:AP89" si="33">AJ45*I45</f>
        <v>0</v>
      </c>
      <c r="AQ45" s="300">
        <f t="shared" ref="AQ45:AQ59" si="34">AM45+IF(AN45=0,0.25*AM45,AN45)+AO45+IF(AP45=0,0.25*AO45,AP45)</f>
        <v>71.875</v>
      </c>
      <c r="AR45" s="298">
        <v>4</v>
      </c>
      <c r="AS45" s="298">
        <v>8</v>
      </c>
      <c r="AT45" s="300">
        <f t="shared" ref="AT45:AT89" si="35">AS45+AQ45</f>
        <v>79.875</v>
      </c>
      <c r="AU45" s="299">
        <f t="shared" ref="AU45:AU89" si="36">AT45/90</f>
        <v>0.88749999999999996</v>
      </c>
    </row>
    <row r="46" spans="2:47" x14ac:dyDescent="0.2">
      <c r="B46" s="298">
        <v>2</v>
      </c>
      <c r="C46" s="298">
        <v>28000</v>
      </c>
      <c r="D46" s="299">
        <f t="shared" si="3"/>
        <v>0.94444444444444442</v>
      </c>
      <c r="E46" s="298">
        <f t="shared" si="4"/>
        <v>2800</v>
      </c>
      <c r="F46" s="298">
        <v>1</v>
      </c>
      <c r="G46" s="298">
        <v>1</v>
      </c>
      <c r="H46" s="298">
        <v>0</v>
      </c>
      <c r="I46" s="298">
        <v>0</v>
      </c>
      <c r="J46" s="298">
        <v>1</v>
      </c>
      <c r="K46" s="298">
        <v>0</v>
      </c>
      <c r="L46" s="298">
        <v>0.6</v>
      </c>
      <c r="M46" s="298">
        <f t="shared" si="5"/>
        <v>0.4</v>
      </c>
      <c r="N46" s="298">
        <v>0.5</v>
      </c>
      <c r="O46" s="298">
        <f t="shared" si="6"/>
        <v>0.16666666666666666</v>
      </c>
      <c r="P46" s="298">
        <f t="shared" si="7"/>
        <v>0.66666666666666663</v>
      </c>
      <c r="Q46" s="298">
        <f t="shared" si="8"/>
        <v>0.16666666666666666</v>
      </c>
      <c r="R46" s="298">
        <f t="shared" si="9"/>
        <v>0.25</v>
      </c>
      <c r="S46" s="298">
        <f t="shared" si="10"/>
        <v>0.5</v>
      </c>
      <c r="T46" s="298">
        <f t="shared" si="11"/>
        <v>0.25</v>
      </c>
      <c r="U46" s="300">
        <f t="shared" si="12"/>
        <v>140</v>
      </c>
      <c r="V46" s="300">
        <f t="shared" si="13"/>
        <v>560</v>
      </c>
      <c r="W46" s="300">
        <f t="shared" si="14"/>
        <v>140</v>
      </c>
      <c r="X46" s="300">
        <f t="shared" si="15"/>
        <v>140</v>
      </c>
      <c r="Y46" s="300">
        <f t="shared" si="16"/>
        <v>280</v>
      </c>
      <c r="Z46" s="300">
        <f t="shared" si="17"/>
        <v>140</v>
      </c>
      <c r="AA46" s="300">
        <f t="shared" si="18"/>
        <v>3.5</v>
      </c>
      <c r="AB46" s="300">
        <f t="shared" si="19"/>
        <v>14</v>
      </c>
      <c r="AC46" s="300">
        <f t="shared" si="20"/>
        <v>3.5</v>
      </c>
      <c r="AD46" s="300">
        <f t="shared" si="21"/>
        <v>3.5</v>
      </c>
      <c r="AE46" s="300">
        <f t="shared" si="22"/>
        <v>7</v>
      </c>
      <c r="AF46" s="300">
        <f t="shared" si="23"/>
        <v>3.5</v>
      </c>
      <c r="AG46" s="300">
        <f t="shared" si="24"/>
        <v>7</v>
      </c>
      <c r="AH46" s="300">
        <f t="shared" si="25"/>
        <v>28</v>
      </c>
      <c r="AI46" s="300">
        <f t="shared" si="26"/>
        <v>7</v>
      </c>
      <c r="AJ46" s="300">
        <f t="shared" si="27"/>
        <v>7</v>
      </c>
      <c r="AK46" s="300">
        <f t="shared" si="28"/>
        <v>14</v>
      </c>
      <c r="AL46" s="300">
        <f t="shared" si="29"/>
        <v>7</v>
      </c>
      <c r="AM46" s="300">
        <f t="shared" si="30"/>
        <v>35</v>
      </c>
      <c r="AN46" s="300">
        <f t="shared" si="31"/>
        <v>7</v>
      </c>
      <c r="AO46" s="300">
        <f t="shared" si="32"/>
        <v>28</v>
      </c>
      <c r="AP46" s="300">
        <f t="shared" si="33"/>
        <v>0</v>
      </c>
      <c r="AQ46" s="300">
        <f t="shared" si="34"/>
        <v>77</v>
      </c>
      <c r="AR46" s="298">
        <v>4</v>
      </c>
      <c r="AS46" s="298">
        <v>8</v>
      </c>
      <c r="AT46" s="300">
        <f t="shared" si="35"/>
        <v>85</v>
      </c>
      <c r="AU46" s="299">
        <f t="shared" si="36"/>
        <v>0.94444444444444442</v>
      </c>
    </row>
    <row r="47" spans="2:47" x14ac:dyDescent="0.2">
      <c r="B47" s="298">
        <v>3</v>
      </c>
      <c r="C47" s="298">
        <v>33000</v>
      </c>
      <c r="D47" s="299">
        <f t="shared" si="3"/>
        <v>1.0055555555555555</v>
      </c>
      <c r="E47" s="298">
        <f t="shared" si="4"/>
        <v>3300</v>
      </c>
      <c r="F47" s="298">
        <v>1</v>
      </c>
      <c r="G47" s="298">
        <v>1</v>
      </c>
      <c r="H47" s="298">
        <v>0</v>
      </c>
      <c r="I47" s="298">
        <v>1</v>
      </c>
      <c r="J47" s="298">
        <v>1</v>
      </c>
      <c r="K47" s="298">
        <v>0</v>
      </c>
      <c r="L47" s="298">
        <v>0.6</v>
      </c>
      <c r="M47" s="298">
        <f t="shared" si="5"/>
        <v>0.4</v>
      </c>
      <c r="N47" s="298">
        <v>0.5</v>
      </c>
      <c r="O47" s="298">
        <f t="shared" si="6"/>
        <v>0.16666666666666666</v>
      </c>
      <c r="P47" s="298">
        <f t="shared" si="7"/>
        <v>0.66666666666666663</v>
      </c>
      <c r="Q47" s="298">
        <f t="shared" si="8"/>
        <v>0.16666666666666666</v>
      </c>
      <c r="R47" s="298">
        <f t="shared" si="9"/>
        <v>0.25</v>
      </c>
      <c r="S47" s="298">
        <f t="shared" si="10"/>
        <v>0.5</v>
      </c>
      <c r="T47" s="298">
        <f t="shared" si="11"/>
        <v>0.25</v>
      </c>
      <c r="U47" s="300">
        <f t="shared" si="12"/>
        <v>165</v>
      </c>
      <c r="V47" s="300">
        <f t="shared" si="13"/>
        <v>660</v>
      </c>
      <c r="W47" s="300">
        <f t="shared" si="14"/>
        <v>165</v>
      </c>
      <c r="X47" s="300">
        <f t="shared" si="15"/>
        <v>165</v>
      </c>
      <c r="Y47" s="300">
        <f t="shared" si="16"/>
        <v>330</v>
      </c>
      <c r="Z47" s="300">
        <f t="shared" si="17"/>
        <v>165</v>
      </c>
      <c r="AA47" s="300">
        <f t="shared" si="18"/>
        <v>4.125</v>
      </c>
      <c r="AB47" s="300">
        <f t="shared" si="19"/>
        <v>16.5</v>
      </c>
      <c r="AC47" s="300">
        <f t="shared" si="20"/>
        <v>4.125</v>
      </c>
      <c r="AD47" s="300">
        <f t="shared" si="21"/>
        <v>4.125</v>
      </c>
      <c r="AE47" s="300">
        <f t="shared" si="22"/>
        <v>8.25</v>
      </c>
      <c r="AF47" s="300">
        <f t="shared" si="23"/>
        <v>4.125</v>
      </c>
      <c r="AG47" s="300">
        <f t="shared" si="24"/>
        <v>8.25</v>
      </c>
      <c r="AH47" s="300">
        <f t="shared" si="25"/>
        <v>33</v>
      </c>
      <c r="AI47" s="300">
        <f t="shared" si="26"/>
        <v>8.25</v>
      </c>
      <c r="AJ47" s="300">
        <f t="shared" si="27"/>
        <v>8.25</v>
      </c>
      <c r="AK47" s="300">
        <f t="shared" si="28"/>
        <v>16.5</v>
      </c>
      <c r="AL47" s="300">
        <f t="shared" si="29"/>
        <v>8.25</v>
      </c>
      <c r="AM47" s="300">
        <f t="shared" si="30"/>
        <v>41.25</v>
      </c>
      <c r="AN47" s="300">
        <f t="shared" si="31"/>
        <v>8.25</v>
      </c>
      <c r="AO47" s="300">
        <f t="shared" si="32"/>
        <v>24.75</v>
      </c>
      <c r="AP47" s="300">
        <f t="shared" si="33"/>
        <v>8.25</v>
      </c>
      <c r="AQ47" s="300">
        <f t="shared" si="34"/>
        <v>82.5</v>
      </c>
      <c r="AR47" s="298">
        <v>4</v>
      </c>
      <c r="AS47" s="298">
        <v>8</v>
      </c>
      <c r="AT47" s="300">
        <f t="shared" si="35"/>
        <v>90.5</v>
      </c>
      <c r="AU47" s="299">
        <f t="shared" si="36"/>
        <v>1.0055555555555555</v>
      </c>
    </row>
    <row r="48" spans="2:47" x14ac:dyDescent="0.2">
      <c r="B48" s="298">
        <v>4</v>
      </c>
      <c r="C48" s="298">
        <v>31000</v>
      </c>
      <c r="D48" s="299">
        <f t="shared" si="3"/>
        <v>0.95</v>
      </c>
      <c r="E48" s="298">
        <f t="shared" si="4"/>
        <v>3100</v>
      </c>
      <c r="F48" s="298">
        <v>1</v>
      </c>
      <c r="G48" s="298">
        <v>1</v>
      </c>
      <c r="H48" s="298">
        <v>1</v>
      </c>
      <c r="I48" s="298">
        <v>0</v>
      </c>
      <c r="J48" s="298">
        <v>1</v>
      </c>
      <c r="K48" s="298">
        <v>0</v>
      </c>
      <c r="L48" s="298">
        <v>0.6</v>
      </c>
      <c r="M48" s="298">
        <f t="shared" si="5"/>
        <v>0.4</v>
      </c>
      <c r="N48" s="298">
        <v>0.5</v>
      </c>
      <c r="O48" s="298">
        <f t="shared" si="6"/>
        <v>0.16666666666666666</v>
      </c>
      <c r="P48" s="298">
        <f t="shared" si="7"/>
        <v>0.66666666666666663</v>
      </c>
      <c r="Q48" s="298">
        <f t="shared" si="8"/>
        <v>0.16666666666666666</v>
      </c>
      <c r="R48" s="298">
        <f t="shared" si="9"/>
        <v>0.25</v>
      </c>
      <c r="S48" s="298">
        <f t="shared" si="10"/>
        <v>0.5</v>
      </c>
      <c r="T48" s="298">
        <f t="shared" si="11"/>
        <v>0.25</v>
      </c>
      <c r="U48" s="300">
        <f t="shared" si="12"/>
        <v>155</v>
      </c>
      <c r="V48" s="300">
        <f t="shared" si="13"/>
        <v>620</v>
      </c>
      <c r="W48" s="300">
        <f t="shared" si="14"/>
        <v>155</v>
      </c>
      <c r="X48" s="300">
        <f t="shared" si="15"/>
        <v>155</v>
      </c>
      <c r="Y48" s="300">
        <f t="shared" si="16"/>
        <v>310</v>
      </c>
      <c r="Z48" s="300">
        <f t="shared" si="17"/>
        <v>155</v>
      </c>
      <c r="AA48" s="300">
        <f t="shared" si="18"/>
        <v>3.875</v>
      </c>
      <c r="AB48" s="300">
        <f t="shared" si="19"/>
        <v>15.5</v>
      </c>
      <c r="AC48" s="300">
        <f t="shared" si="20"/>
        <v>3.875</v>
      </c>
      <c r="AD48" s="300">
        <f t="shared" si="21"/>
        <v>3.875</v>
      </c>
      <c r="AE48" s="300">
        <f t="shared" si="22"/>
        <v>7.75</v>
      </c>
      <c r="AF48" s="300">
        <f t="shared" si="23"/>
        <v>3.875</v>
      </c>
      <c r="AG48" s="300">
        <f t="shared" si="24"/>
        <v>7.75</v>
      </c>
      <c r="AH48" s="300">
        <f t="shared" si="25"/>
        <v>31</v>
      </c>
      <c r="AI48" s="300">
        <f t="shared" si="26"/>
        <v>7.75</v>
      </c>
      <c r="AJ48" s="300">
        <f t="shared" si="27"/>
        <v>7.75</v>
      </c>
      <c r="AK48" s="300">
        <f t="shared" si="28"/>
        <v>15.5</v>
      </c>
      <c r="AL48" s="300">
        <f t="shared" si="29"/>
        <v>7.75</v>
      </c>
      <c r="AM48" s="300">
        <f t="shared" si="30"/>
        <v>31</v>
      </c>
      <c r="AN48" s="300">
        <f t="shared" si="31"/>
        <v>7.75</v>
      </c>
      <c r="AO48" s="300">
        <f t="shared" si="32"/>
        <v>31</v>
      </c>
      <c r="AP48" s="300">
        <f t="shared" si="33"/>
        <v>0</v>
      </c>
      <c r="AQ48" s="300">
        <f t="shared" si="34"/>
        <v>77.5</v>
      </c>
      <c r="AR48" s="298">
        <v>4</v>
      </c>
      <c r="AS48" s="298">
        <v>8</v>
      </c>
      <c r="AT48" s="300">
        <f t="shared" si="35"/>
        <v>85.5</v>
      </c>
      <c r="AU48" s="299">
        <f t="shared" si="36"/>
        <v>0.95</v>
      </c>
    </row>
    <row r="49" spans="2:47" x14ac:dyDescent="0.2">
      <c r="B49" s="298">
        <v>5</v>
      </c>
      <c r="C49" s="298">
        <v>36000</v>
      </c>
      <c r="D49" s="299">
        <f t="shared" si="3"/>
        <v>0.98888888888888893</v>
      </c>
      <c r="E49" s="298">
        <f t="shared" si="4"/>
        <v>3600</v>
      </c>
      <c r="F49" s="298">
        <v>1</v>
      </c>
      <c r="G49" s="298">
        <v>1</v>
      </c>
      <c r="H49" s="298">
        <v>1</v>
      </c>
      <c r="I49" s="298">
        <v>1</v>
      </c>
      <c r="J49" s="298">
        <v>1</v>
      </c>
      <c r="K49" s="298">
        <v>0</v>
      </c>
      <c r="L49" s="298">
        <v>0.6</v>
      </c>
      <c r="M49" s="298">
        <f t="shared" si="5"/>
        <v>0.4</v>
      </c>
      <c r="N49" s="298">
        <v>0.5</v>
      </c>
      <c r="O49" s="298">
        <f t="shared" si="6"/>
        <v>0.16666666666666666</v>
      </c>
      <c r="P49" s="298">
        <f t="shared" si="7"/>
        <v>0.66666666666666663</v>
      </c>
      <c r="Q49" s="298">
        <f t="shared" si="8"/>
        <v>0.16666666666666666</v>
      </c>
      <c r="R49" s="298">
        <f t="shared" si="9"/>
        <v>0.25</v>
      </c>
      <c r="S49" s="298">
        <f t="shared" si="10"/>
        <v>0.5</v>
      </c>
      <c r="T49" s="298">
        <f t="shared" si="11"/>
        <v>0.25</v>
      </c>
      <c r="U49" s="300">
        <f t="shared" si="12"/>
        <v>180</v>
      </c>
      <c r="V49" s="300">
        <f t="shared" si="13"/>
        <v>720</v>
      </c>
      <c r="W49" s="300">
        <f t="shared" si="14"/>
        <v>180</v>
      </c>
      <c r="X49" s="300">
        <f t="shared" si="15"/>
        <v>180</v>
      </c>
      <c r="Y49" s="300">
        <f t="shared" si="16"/>
        <v>360</v>
      </c>
      <c r="Z49" s="300">
        <f t="shared" si="17"/>
        <v>180</v>
      </c>
      <c r="AA49" s="300">
        <f t="shared" si="18"/>
        <v>4.5</v>
      </c>
      <c r="AB49" s="300">
        <f t="shared" si="19"/>
        <v>18</v>
      </c>
      <c r="AC49" s="300">
        <f t="shared" si="20"/>
        <v>4.5</v>
      </c>
      <c r="AD49" s="300">
        <f t="shared" si="21"/>
        <v>4.5</v>
      </c>
      <c r="AE49" s="300">
        <f t="shared" si="22"/>
        <v>9</v>
      </c>
      <c r="AF49" s="300">
        <f t="shared" si="23"/>
        <v>4.5</v>
      </c>
      <c r="AG49" s="300">
        <f t="shared" si="24"/>
        <v>9</v>
      </c>
      <c r="AH49" s="300">
        <f t="shared" si="25"/>
        <v>36</v>
      </c>
      <c r="AI49" s="300">
        <f t="shared" si="26"/>
        <v>9</v>
      </c>
      <c r="AJ49" s="300">
        <f t="shared" si="27"/>
        <v>9</v>
      </c>
      <c r="AK49" s="300">
        <f t="shared" si="28"/>
        <v>18</v>
      </c>
      <c r="AL49" s="300">
        <f t="shared" si="29"/>
        <v>9</v>
      </c>
      <c r="AM49" s="300">
        <f t="shared" si="30"/>
        <v>36</v>
      </c>
      <c r="AN49" s="300">
        <f t="shared" si="31"/>
        <v>9</v>
      </c>
      <c r="AO49" s="300">
        <f t="shared" si="32"/>
        <v>27</v>
      </c>
      <c r="AP49" s="300">
        <f t="shared" si="33"/>
        <v>9</v>
      </c>
      <c r="AQ49" s="300">
        <f t="shared" si="34"/>
        <v>81</v>
      </c>
      <c r="AR49" s="298">
        <v>4</v>
      </c>
      <c r="AS49" s="298">
        <v>8</v>
      </c>
      <c r="AT49" s="300">
        <f t="shared" si="35"/>
        <v>89</v>
      </c>
      <c r="AU49" s="299">
        <f t="shared" si="36"/>
        <v>0.98888888888888893</v>
      </c>
    </row>
    <row r="50" spans="2:47" x14ac:dyDescent="0.2">
      <c r="B50" s="298">
        <v>6</v>
      </c>
      <c r="C50" s="298">
        <v>38000</v>
      </c>
      <c r="D50" s="299">
        <f t="shared" si="3"/>
        <v>0.93333333333333335</v>
      </c>
      <c r="E50" s="298">
        <f t="shared" si="4"/>
        <v>3800</v>
      </c>
      <c r="F50" s="298">
        <v>1</v>
      </c>
      <c r="G50" s="298">
        <v>1</v>
      </c>
      <c r="H50" s="298">
        <v>1</v>
      </c>
      <c r="I50" s="298">
        <v>1</v>
      </c>
      <c r="J50" s="298">
        <v>1</v>
      </c>
      <c r="K50" s="298">
        <v>1</v>
      </c>
      <c r="L50" s="298">
        <v>0.6</v>
      </c>
      <c r="M50" s="298">
        <f t="shared" si="5"/>
        <v>0.4</v>
      </c>
      <c r="N50" s="298">
        <v>0.5</v>
      </c>
      <c r="O50" s="298">
        <f t="shared" si="6"/>
        <v>0.16666666666666666</v>
      </c>
      <c r="P50" s="298">
        <f t="shared" si="7"/>
        <v>0.66666666666666663</v>
      </c>
      <c r="Q50" s="298">
        <f t="shared" si="8"/>
        <v>0.16666666666666666</v>
      </c>
      <c r="R50" s="298">
        <f t="shared" si="9"/>
        <v>0.25</v>
      </c>
      <c r="S50" s="298">
        <f t="shared" si="10"/>
        <v>0.5</v>
      </c>
      <c r="T50" s="298">
        <f t="shared" si="11"/>
        <v>0.25</v>
      </c>
      <c r="U50" s="300">
        <f t="shared" si="12"/>
        <v>190</v>
      </c>
      <c r="V50" s="300">
        <f t="shared" si="13"/>
        <v>760</v>
      </c>
      <c r="W50" s="300">
        <f t="shared" si="14"/>
        <v>190</v>
      </c>
      <c r="X50" s="300">
        <f t="shared" si="15"/>
        <v>190</v>
      </c>
      <c r="Y50" s="300">
        <f t="shared" si="16"/>
        <v>380</v>
      </c>
      <c r="Z50" s="300">
        <f t="shared" si="17"/>
        <v>190</v>
      </c>
      <c r="AA50" s="300">
        <f t="shared" si="18"/>
        <v>4.75</v>
      </c>
      <c r="AB50" s="300">
        <f t="shared" si="19"/>
        <v>19</v>
      </c>
      <c r="AC50" s="300">
        <f t="shared" si="20"/>
        <v>4.75</v>
      </c>
      <c r="AD50" s="300">
        <f t="shared" si="21"/>
        <v>4.75</v>
      </c>
      <c r="AE50" s="300">
        <f t="shared" si="22"/>
        <v>9.5</v>
      </c>
      <c r="AF50" s="300">
        <f t="shared" si="23"/>
        <v>4.75</v>
      </c>
      <c r="AG50" s="300">
        <f t="shared" si="24"/>
        <v>9.5</v>
      </c>
      <c r="AH50" s="300">
        <f t="shared" si="25"/>
        <v>38</v>
      </c>
      <c r="AI50" s="300">
        <f t="shared" si="26"/>
        <v>9.5</v>
      </c>
      <c r="AJ50" s="300">
        <f t="shared" si="27"/>
        <v>9.5</v>
      </c>
      <c r="AK50" s="300">
        <f t="shared" si="28"/>
        <v>19</v>
      </c>
      <c r="AL50" s="300">
        <f t="shared" si="29"/>
        <v>9.5</v>
      </c>
      <c r="AM50" s="300">
        <f t="shared" si="30"/>
        <v>38</v>
      </c>
      <c r="AN50" s="300">
        <f t="shared" si="31"/>
        <v>9.5</v>
      </c>
      <c r="AO50" s="300">
        <f t="shared" si="32"/>
        <v>19</v>
      </c>
      <c r="AP50" s="300">
        <f t="shared" si="33"/>
        <v>9.5</v>
      </c>
      <c r="AQ50" s="300">
        <f t="shared" si="34"/>
        <v>76</v>
      </c>
      <c r="AR50" s="298">
        <v>4</v>
      </c>
      <c r="AS50" s="298">
        <v>8</v>
      </c>
      <c r="AT50" s="300">
        <f t="shared" si="35"/>
        <v>84</v>
      </c>
      <c r="AU50" s="299">
        <f t="shared" si="36"/>
        <v>0.93333333333333335</v>
      </c>
    </row>
    <row r="51" spans="2:47" x14ac:dyDescent="0.2">
      <c r="B51" s="298">
        <v>7</v>
      </c>
      <c r="C51" s="298">
        <v>40000</v>
      </c>
      <c r="D51" s="299">
        <f t="shared" si="3"/>
        <v>1.0555555555555556</v>
      </c>
      <c r="E51" s="298">
        <f t="shared" si="4"/>
        <v>4000</v>
      </c>
      <c r="F51" s="298">
        <v>1</v>
      </c>
      <c r="G51" s="298">
        <v>2</v>
      </c>
      <c r="H51" s="298">
        <v>0</v>
      </c>
      <c r="I51" s="298">
        <v>0</v>
      </c>
      <c r="J51" s="298">
        <v>1</v>
      </c>
      <c r="K51" s="298">
        <v>0</v>
      </c>
      <c r="L51" s="298">
        <v>0.6</v>
      </c>
      <c r="M51" s="298">
        <f t="shared" si="5"/>
        <v>0.4</v>
      </c>
      <c r="N51" s="298">
        <v>0.5</v>
      </c>
      <c r="O51" s="298">
        <f t="shared" si="6"/>
        <v>0.16666666666666666</v>
      </c>
      <c r="P51" s="298">
        <f t="shared" si="7"/>
        <v>0.66666666666666663</v>
      </c>
      <c r="Q51" s="298">
        <f t="shared" si="8"/>
        <v>0.16666666666666666</v>
      </c>
      <c r="R51" s="298">
        <f t="shared" si="9"/>
        <v>0.25</v>
      </c>
      <c r="S51" s="298">
        <f t="shared" si="10"/>
        <v>0.5</v>
      </c>
      <c r="T51" s="298">
        <f t="shared" si="11"/>
        <v>0.25</v>
      </c>
      <c r="U51" s="300">
        <f t="shared" si="12"/>
        <v>200</v>
      </c>
      <c r="V51" s="300">
        <f t="shared" si="13"/>
        <v>800</v>
      </c>
      <c r="W51" s="300">
        <f t="shared" si="14"/>
        <v>200</v>
      </c>
      <c r="X51" s="300">
        <f t="shared" si="15"/>
        <v>200</v>
      </c>
      <c r="Y51" s="300">
        <f t="shared" si="16"/>
        <v>400</v>
      </c>
      <c r="Z51" s="300">
        <f t="shared" si="17"/>
        <v>200</v>
      </c>
      <c r="AA51" s="300">
        <f t="shared" si="18"/>
        <v>5</v>
      </c>
      <c r="AB51" s="300">
        <f t="shared" si="19"/>
        <v>20</v>
      </c>
      <c r="AC51" s="300">
        <f t="shared" si="20"/>
        <v>5</v>
      </c>
      <c r="AD51" s="300">
        <f t="shared" si="21"/>
        <v>5</v>
      </c>
      <c r="AE51" s="300">
        <f t="shared" si="22"/>
        <v>10</v>
      </c>
      <c r="AF51" s="300">
        <f t="shared" si="23"/>
        <v>5</v>
      </c>
      <c r="AG51" s="300">
        <f t="shared" si="24"/>
        <v>10</v>
      </c>
      <c r="AH51" s="300">
        <f t="shared" si="25"/>
        <v>40</v>
      </c>
      <c r="AI51" s="300">
        <f t="shared" si="26"/>
        <v>10</v>
      </c>
      <c r="AJ51" s="300">
        <f t="shared" si="27"/>
        <v>10</v>
      </c>
      <c r="AK51" s="300">
        <f t="shared" si="28"/>
        <v>20</v>
      </c>
      <c r="AL51" s="300">
        <f t="shared" si="29"/>
        <v>10</v>
      </c>
      <c r="AM51" s="300">
        <f t="shared" si="30"/>
        <v>25</v>
      </c>
      <c r="AN51" s="300">
        <f t="shared" si="31"/>
        <v>10</v>
      </c>
      <c r="AO51" s="300">
        <f t="shared" si="32"/>
        <v>40</v>
      </c>
      <c r="AP51" s="300">
        <f t="shared" si="33"/>
        <v>0</v>
      </c>
      <c r="AQ51" s="300">
        <f t="shared" si="34"/>
        <v>85</v>
      </c>
      <c r="AR51" s="298">
        <v>4</v>
      </c>
      <c r="AS51" s="298">
        <v>10</v>
      </c>
      <c r="AT51" s="300">
        <f t="shared" si="35"/>
        <v>95</v>
      </c>
      <c r="AU51" s="299">
        <f t="shared" si="36"/>
        <v>1.0555555555555556</v>
      </c>
    </row>
    <row r="52" spans="2:47" x14ac:dyDescent="0.2">
      <c r="B52" s="298">
        <v>8</v>
      </c>
      <c r="C52" s="298">
        <v>44000</v>
      </c>
      <c r="D52" s="299">
        <f t="shared" si="3"/>
        <v>1.0277777777777777</v>
      </c>
      <c r="E52" s="298">
        <f t="shared" si="4"/>
        <v>4400</v>
      </c>
      <c r="F52" s="298">
        <v>1</v>
      </c>
      <c r="G52" s="298">
        <v>2</v>
      </c>
      <c r="H52" s="298">
        <v>0</v>
      </c>
      <c r="I52" s="298">
        <v>1</v>
      </c>
      <c r="J52" s="298">
        <v>1</v>
      </c>
      <c r="K52" s="298">
        <v>0</v>
      </c>
      <c r="L52" s="298">
        <v>0.6</v>
      </c>
      <c r="M52" s="298">
        <f t="shared" si="5"/>
        <v>0.4</v>
      </c>
      <c r="N52" s="298">
        <v>0.5</v>
      </c>
      <c r="O52" s="298">
        <f t="shared" si="6"/>
        <v>0.16666666666666666</v>
      </c>
      <c r="P52" s="298">
        <f t="shared" si="7"/>
        <v>0.66666666666666663</v>
      </c>
      <c r="Q52" s="298">
        <f t="shared" si="8"/>
        <v>0.16666666666666666</v>
      </c>
      <c r="R52" s="298">
        <f t="shared" si="9"/>
        <v>0.25</v>
      </c>
      <c r="S52" s="298">
        <f t="shared" si="10"/>
        <v>0.5</v>
      </c>
      <c r="T52" s="298">
        <f t="shared" si="11"/>
        <v>0.25</v>
      </c>
      <c r="U52" s="300">
        <f t="shared" si="12"/>
        <v>220</v>
      </c>
      <c r="V52" s="300">
        <f t="shared" si="13"/>
        <v>880</v>
      </c>
      <c r="W52" s="300">
        <f t="shared" si="14"/>
        <v>220</v>
      </c>
      <c r="X52" s="300">
        <f t="shared" si="15"/>
        <v>220</v>
      </c>
      <c r="Y52" s="300">
        <f t="shared" si="16"/>
        <v>440</v>
      </c>
      <c r="Z52" s="300">
        <f t="shared" si="17"/>
        <v>220</v>
      </c>
      <c r="AA52" s="300">
        <f t="shared" si="18"/>
        <v>5.5</v>
      </c>
      <c r="AB52" s="300">
        <f t="shared" si="19"/>
        <v>22</v>
      </c>
      <c r="AC52" s="300">
        <f t="shared" si="20"/>
        <v>5.5</v>
      </c>
      <c r="AD52" s="300">
        <f t="shared" si="21"/>
        <v>5.5</v>
      </c>
      <c r="AE52" s="300">
        <f t="shared" si="22"/>
        <v>11</v>
      </c>
      <c r="AF52" s="300">
        <f t="shared" si="23"/>
        <v>5.5</v>
      </c>
      <c r="AG52" s="300">
        <f t="shared" si="24"/>
        <v>11</v>
      </c>
      <c r="AH52" s="300">
        <f t="shared" si="25"/>
        <v>44</v>
      </c>
      <c r="AI52" s="300">
        <f t="shared" si="26"/>
        <v>11</v>
      </c>
      <c r="AJ52" s="300">
        <f t="shared" si="27"/>
        <v>11</v>
      </c>
      <c r="AK52" s="300">
        <f t="shared" si="28"/>
        <v>22</v>
      </c>
      <c r="AL52" s="300">
        <f t="shared" si="29"/>
        <v>11</v>
      </c>
      <c r="AM52" s="300">
        <f t="shared" si="30"/>
        <v>27.5</v>
      </c>
      <c r="AN52" s="300">
        <f t="shared" si="31"/>
        <v>11</v>
      </c>
      <c r="AO52" s="300">
        <f t="shared" si="32"/>
        <v>33</v>
      </c>
      <c r="AP52" s="300">
        <f t="shared" si="33"/>
        <v>11</v>
      </c>
      <c r="AQ52" s="300">
        <f t="shared" si="34"/>
        <v>82.5</v>
      </c>
      <c r="AR52" s="298">
        <v>4</v>
      </c>
      <c r="AS52" s="298">
        <v>10</v>
      </c>
      <c r="AT52" s="300">
        <f t="shared" si="35"/>
        <v>92.5</v>
      </c>
      <c r="AU52" s="299">
        <f t="shared" si="36"/>
        <v>1.0277777777777777</v>
      </c>
    </row>
    <row r="53" spans="2:47" x14ac:dyDescent="0.2">
      <c r="B53" s="298">
        <v>9</v>
      </c>
      <c r="C53" s="298">
        <v>49000</v>
      </c>
      <c r="D53" s="299">
        <f t="shared" si="3"/>
        <v>0.99583333333333335</v>
      </c>
      <c r="E53" s="298">
        <f t="shared" si="4"/>
        <v>4900</v>
      </c>
      <c r="F53" s="298">
        <v>1</v>
      </c>
      <c r="G53" s="298">
        <v>2</v>
      </c>
      <c r="H53" s="298">
        <v>0</v>
      </c>
      <c r="I53" s="298">
        <v>1</v>
      </c>
      <c r="J53" s="298">
        <v>1</v>
      </c>
      <c r="K53" s="298">
        <v>1</v>
      </c>
      <c r="L53" s="298">
        <v>0.6</v>
      </c>
      <c r="M53" s="298">
        <f t="shared" si="5"/>
        <v>0.4</v>
      </c>
      <c r="N53" s="298">
        <v>0.5</v>
      </c>
      <c r="O53" s="298">
        <f t="shared" si="6"/>
        <v>0.16666666666666666</v>
      </c>
      <c r="P53" s="298">
        <f t="shared" si="7"/>
        <v>0.66666666666666663</v>
      </c>
      <c r="Q53" s="298">
        <f t="shared" si="8"/>
        <v>0.16666666666666666</v>
      </c>
      <c r="R53" s="298">
        <f t="shared" si="9"/>
        <v>0.25</v>
      </c>
      <c r="S53" s="298">
        <f t="shared" si="10"/>
        <v>0.5</v>
      </c>
      <c r="T53" s="298">
        <f t="shared" si="11"/>
        <v>0.25</v>
      </c>
      <c r="U53" s="300">
        <f t="shared" si="12"/>
        <v>245</v>
      </c>
      <c r="V53" s="300">
        <f t="shared" si="13"/>
        <v>980</v>
      </c>
      <c r="W53" s="300">
        <f t="shared" si="14"/>
        <v>245</v>
      </c>
      <c r="X53" s="300">
        <f t="shared" si="15"/>
        <v>245</v>
      </c>
      <c r="Y53" s="300">
        <f t="shared" si="16"/>
        <v>490</v>
      </c>
      <c r="Z53" s="300">
        <f t="shared" si="17"/>
        <v>245</v>
      </c>
      <c r="AA53" s="300">
        <f t="shared" si="18"/>
        <v>6.125</v>
      </c>
      <c r="AB53" s="300">
        <f t="shared" si="19"/>
        <v>24.5</v>
      </c>
      <c r="AC53" s="300">
        <f t="shared" si="20"/>
        <v>6.125</v>
      </c>
      <c r="AD53" s="300">
        <f t="shared" si="21"/>
        <v>6.125</v>
      </c>
      <c r="AE53" s="300">
        <f t="shared" si="22"/>
        <v>12.25</v>
      </c>
      <c r="AF53" s="300">
        <f t="shared" si="23"/>
        <v>6.125</v>
      </c>
      <c r="AG53" s="300">
        <f t="shared" si="24"/>
        <v>12.25</v>
      </c>
      <c r="AH53" s="300">
        <f t="shared" si="25"/>
        <v>49</v>
      </c>
      <c r="AI53" s="300">
        <f t="shared" si="26"/>
        <v>12.25</v>
      </c>
      <c r="AJ53" s="300">
        <f t="shared" si="27"/>
        <v>12.25</v>
      </c>
      <c r="AK53" s="300">
        <f t="shared" si="28"/>
        <v>24.5</v>
      </c>
      <c r="AL53" s="300">
        <f t="shared" si="29"/>
        <v>12.25</v>
      </c>
      <c r="AM53" s="300">
        <f t="shared" si="30"/>
        <v>30.625</v>
      </c>
      <c r="AN53" s="300">
        <f t="shared" si="31"/>
        <v>12.25</v>
      </c>
      <c r="AO53" s="300">
        <f t="shared" si="32"/>
        <v>24.5</v>
      </c>
      <c r="AP53" s="300">
        <f t="shared" si="33"/>
        <v>12.25</v>
      </c>
      <c r="AQ53" s="300">
        <f t="shared" si="34"/>
        <v>79.625</v>
      </c>
      <c r="AR53" s="298">
        <v>4</v>
      </c>
      <c r="AS53" s="298">
        <v>10</v>
      </c>
      <c r="AT53" s="300">
        <f t="shared" si="35"/>
        <v>89.625</v>
      </c>
      <c r="AU53" s="299">
        <f t="shared" si="36"/>
        <v>0.99583333333333335</v>
      </c>
    </row>
    <row r="54" spans="2:47" x14ac:dyDescent="0.2">
      <c r="B54" s="298">
        <v>10</v>
      </c>
      <c r="C54" s="298">
        <v>53000</v>
      </c>
      <c r="D54" s="299">
        <f t="shared" si="3"/>
        <v>1.0166666666666666</v>
      </c>
      <c r="E54" s="298">
        <f t="shared" si="4"/>
        <v>5300</v>
      </c>
      <c r="F54" s="298">
        <v>1</v>
      </c>
      <c r="G54" s="298">
        <v>2</v>
      </c>
      <c r="H54" s="298">
        <v>0</v>
      </c>
      <c r="I54" s="298">
        <v>1</v>
      </c>
      <c r="J54" s="298">
        <v>2</v>
      </c>
      <c r="K54" s="298">
        <v>0</v>
      </c>
      <c r="L54" s="298">
        <v>0.6</v>
      </c>
      <c r="M54" s="298">
        <f t="shared" si="5"/>
        <v>0.4</v>
      </c>
      <c r="N54" s="298">
        <v>0.5</v>
      </c>
      <c r="O54" s="298">
        <f t="shared" si="6"/>
        <v>0.16666666666666666</v>
      </c>
      <c r="P54" s="298">
        <f t="shared" si="7"/>
        <v>0.66666666666666663</v>
      </c>
      <c r="Q54" s="298">
        <f t="shared" si="8"/>
        <v>0.16666666666666666</v>
      </c>
      <c r="R54" s="298">
        <f t="shared" si="9"/>
        <v>0.25</v>
      </c>
      <c r="S54" s="298">
        <f t="shared" si="10"/>
        <v>0.5</v>
      </c>
      <c r="T54" s="298">
        <f t="shared" si="11"/>
        <v>0.25</v>
      </c>
      <c r="U54" s="300">
        <f t="shared" si="12"/>
        <v>265</v>
      </c>
      <c r="V54" s="300">
        <f t="shared" si="13"/>
        <v>1060</v>
      </c>
      <c r="W54" s="300">
        <f t="shared" si="14"/>
        <v>265</v>
      </c>
      <c r="X54" s="300">
        <f t="shared" si="15"/>
        <v>265</v>
      </c>
      <c r="Y54" s="300">
        <f t="shared" si="16"/>
        <v>530</v>
      </c>
      <c r="Z54" s="300">
        <f t="shared" si="17"/>
        <v>265</v>
      </c>
      <c r="AA54" s="300">
        <f t="shared" si="18"/>
        <v>6.625</v>
      </c>
      <c r="AB54" s="300">
        <f t="shared" si="19"/>
        <v>26.5</v>
      </c>
      <c r="AC54" s="300">
        <f t="shared" si="20"/>
        <v>6.625</v>
      </c>
      <c r="AD54" s="300">
        <f t="shared" si="21"/>
        <v>6.625</v>
      </c>
      <c r="AE54" s="300">
        <f t="shared" si="22"/>
        <v>13.25</v>
      </c>
      <c r="AF54" s="300">
        <f t="shared" si="23"/>
        <v>6.625</v>
      </c>
      <c r="AG54" s="300">
        <f t="shared" si="24"/>
        <v>13.25</v>
      </c>
      <c r="AH54" s="300">
        <f t="shared" si="25"/>
        <v>53</v>
      </c>
      <c r="AI54" s="300">
        <f t="shared" si="26"/>
        <v>13.25</v>
      </c>
      <c r="AJ54" s="300">
        <f t="shared" si="27"/>
        <v>13.25</v>
      </c>
      <c r="AK54" s="300">
        <f t="shared" si="28"/>
        <v>26.5</v>
      </c>
      <c r="AL54" s="300">
        <f t="shared" si="29"/>
        <v>13.25</v>
      </c>
      <c r="AM54" s="300">
        <f t="shared" si="30"/>
        <v>33.125</v>
      </c>
      <c r="AN54" s="300">
        <f t="shared" si="31"/>
        <v>13.25</v>
      </c>
      <c r="AO54" s="300">
        <f t="shared" si="32"/>
        <v>19.875</v>
      </c>
      <c r="AP54" s="300">
        <f t="shared" si="33"/>
        <v>13.25</v>
      </c>
      <c r="AQ54" s="300">
        <f t="shared" si="34"/>
        <v>79.5</v>
      </c>
      <c r="AR54" s="298">
        <v>4</v>
      </c>
      <c r="AS54" s="298">
        <v>12</v>
      </c>
      <c r="AT54" s="300">
        <f t="shared" si="35"/>
        <v>91.5</v>
      </c>
      <c r="AU54" s="299">
        <f t="shared" si="36"/>
        <v>1.0166666666666666</v>
      </c>
    </row>
    <row r="55" spans="2:47" x14ac:dyDescent="0.2">
      <c r="B55" s="298">
        <v>11</v>
      </c>
      <c r="C55" s="298">
        <v>46000</v>
      </c>
      <c r="D55" s="299">
        <f t="shared" si="3"/>
        <v>1.1333333333333333</v>
      </c>
      <c r="E55" s="298">
        <f t="shared" si="4"/>
        <v>4600</v>
      </c>
      <c r="F55" s="298">
        <v>1</v>
      </c>
      <c r="G55" s="298">
        <v>2</v>
      </c>
      <c r="H55" s="298">
        <v>1</v>
      </c>
      <c r="I55" s="298">
        <v>0</v>
      </c>
      <c r="J55" s="298">
        <v>1</v>
      </c>
      <c r="K55" s="298">
        <v>0</v>
      </c>
      <c r="L55" s="298">
        <v>0.6</v>
      </c>
      <c r="M55" s="298">
        <f t="shared" si="5"/>
        <v>0.4</v>
      </c>
      <c r="N55" s="298">
        <v>0.5</v>
      </c>
      <c r="O55" s="298">
        <f t="shared" si="6"/>
        <v>0.16666666666666666</v>
      </c>
      <c r="P55" s="298">
        <f t="shared" si="7"/>
        <v>0.66666666666666663</v>
      </c>
      <c r="Q55" s="298">
        <f t="shared" si="8"/>
        <v>0.16666666666666666</v>
      </c>
      <c r="R55" s="298">
        <f t="shared" si="9"/>
        <v>0.25</v>
      </c>
      <c r="S55" s="298">
        <f t="shared" si="10"/>
        <v>0.5</v>
      </c>
      <c r="T55" s="298">
        <f t="shared" si="11"/>
        <v>0.25</v>
      </c>
      <c r="U55" s="300">
        <f t="shared" si="12"/>
        <v>230</v>
      </c>
      <c r="V55" s="300">
        <f t="shared" si="13"/>
        <v>920</v>
      </c>
      <c r="W55" s="300">
        <f t="shared" si="14"/>
        <v>230</v>
      </c>
      <c r="X55" s="300">
        <f t="shared" si="15"/>
        <v>230</v>
      </c>
      <c r="Y55" s="300">
        <f t="shared" si="16"/>
        <v>460</v>
      </c>
      <c r="Z55" s="300">
        <f t="shared" si="17"/>
        <v>230</v>
      </c>
      <c r="AA55" s="300">
        <f t="shared" si="18"/>
        <v>5.75</v>
      </c>
      <c r="AB55" s="300">
        <f t="shared" si="19"/>
        <v>23</v>
      </c>
      <c r="AC55" s="300">
        <f t="shared" si="20"/>
        <v>5.75</v>
      </c>
      <c r="AD55" s="300">
        <f t="shared" si="21"/>
        <v>5.75</v>
      </c>
      <c r="AE55" s="300">
        <f t="shared" si="22"/>
        <v>11.5</v>
      </c>
      <c r="AF55" s="300">
        <f t="shared" si="23"/>
        <v>5.75</v>
      </c>
      <c r="AG55" s="300">
        <f t="shared" si="24"/>
        <v>11.5</v>
      </c>
      <c r="AH55" s="300">
        <f t="shared" si="25"/>
        <v>46</v>
      </c>
      <c r="AI55" s="300">
        <f t="shared" si="26"/>
        <v>11.5</v>
      </c>
      <c r="AJ55" s="300">
        <f t="shared" si="27"/>
        <v>11.5</v>
      </c>
      <c r="AK55" s="300">
        <f t="shared" si="28"/>
        <v>23</v>
      </c>
      <c r="AL55" s="300">
        <f t="shared" si="29"/>
        <v>11.5</v>
      </c>
      <c r="AM55" s="300">
        <f t="shared" si="30"/>
        <v>23</v>
      </c>
      <c r="AN55" s="300">
        <f t="shared" si="31"/>
        <v>11.5</v>
      </c>
      <c r="AO55" s="300">
        <f t="shared" si="32"/>
        <v>46</v>
      </c>
      <c r="AP55" s="300">
        <f t="shared" si="33"/>
        <v>0</v>
      </c>
      <c r="AQ55" s="300">
        <f t="shared" si="34"/>
        <v>92</v>
      </c>
      <c r="AR55" s="298">
        <v>4</v>
      </c>
      <c r="AS55" s="298">
        <v>10</v>
      </c>
      <c r="AT55" s="300">
        <f t="shared" si="35"/>
        <v>102</v>
      </c>
      <c r="AU55" s="299">
        <f t="shared" si="36"/>
        <v>1.1333333333333333</v>
      </c>
    </row>
    <row r="56" spans="2:47" x14ac:dyDescent="0.2">
      <c r="B56" s="298">
        <v>12</v>
      </c>
      <c r="C56" s="298">
        <v>50000</v>
      </c>
      <c r="D56" s="299">
        <f t="shared" si="3"/>
        <v>1.0833333333333333</v>
      </c>
      <c r="E56" s="298">
        <f t="shared" si="4"/>
        <v>5000</v>
      </c>
      <c r="F56" s="298">
        <v>1</v>
      </c>
      <c r="G56" s="298">
        <v>2</v>
      </c>
      <c r="H56" s="298">
        <v>1</v>
      </c>
      <c r="I56" s="298">
        <v>1</v>
      </c>
      <c r="J56" s="298">
        <v>1</v>
      </c>
      <c r="K56" s="298">
        <v>0</v>
      </c>
      <c r="L56" s="298">
        <v>0.6</v>
      </c>
      <c r="M56" s="298">
        <f t="shared" si="5"/>
        <v>0.4</v>
      </c>
      <c r="N56" s="298">
        <v>0.5</v>
      </c>
      <c r="O56" s="298">
        <f t="shared" si="6"/>
        <v>0.16666666666666666</v>
      </c>
      <c r="P56" s="298">
        <f t="shared" si="7"/>
        <v>0.66666666666666663</v>
      </c>
      <c r="Q56" s="298">
        <f t="shared" si="8"/>
        <v>0.16666666666666666</v>
      </c>
      <c r="R56" s="298">
        <f t="shared" si="9"/>
        <v>0.25</v>
      </c>
      <c r="S56" s="298">
        <f t="shared" si="10"/>
        <v>0.5</v>
      </c>
      <c r="T56" s="298">
        <f t="shared" si="11"/>
        <v>0.25</v>
      </c>
      <c r="U56" s="300">
        <f t="shared" si="12"/>
        <v>250</v>
      </c>
      <c r="V56" s="300">
        <f t="shared" si="13"/>
        <v>1000</v>
      </c>
      <c r="W56" s="300">
        <f t="shared" si="14"/>
        <v>250</v>
      </c>
      <c r="X56" s="300">
        <f t="shared" si="15"/>
        <v>250</v>
      </c>
      <c r="Y56" s="300">
        <f t="shared" si="16"/>
        <v>500</v>
      </c>
      <c r="Z56" s="300">
        <f t="shared" si="17"/>
        <v>250</v>
      </c>
      <c r="AA56" s="300">
        <f t="shared" si="18"/>
        <v>6.25</v>
      </c>
      <c r="AB56" s="300">
        <f t="shared" si="19"/>
        <v>25</v>
      </c>
      <c r="AC56" s="300">
        <f t="shared" si="20"/>
        <v>6.25</v>
      </c>
      <c r="AD56" s="300">
        <f t="shared" si="21"/>
        <v>6.25</v>
      </c>
      <c r="AE56" s="300">
        <f t="shared" si="22"/>
        <v>12.5</v>
      </c>
      <c r="AF56" s="300">
        <f t="shared" si="23"/>
        <v>6.25</v>
      </c>
      <c r="AG56" s="300">
        <f t="shared" si="24"/>
        <v>12.5</v>
      </c>
      <c r="AH56" s="300">
        <f t="shared" si="25"/>
        <v>50</v>
      </c>
      <c r="AI56" s="300">
        <f t="shared" si="26"/>
        <v>12.5</v>
      </c>
      <c r="AJ56" s="300">
        <f t="shared" si="27"/>
        <v>12.5</v>
      </c>
      <c r="AK56" s="300">
        <f t="shared" si="28"/>
        <v>25</v>
      </c>
      <c r="AL56" s="300">
        <f t="shared" si="29"/>
        <v>12.5</v>
      </c>
      <c r="AM56" s="300">
        <f t="shared" si="30"/>
        <v>25</v>
      </c>
      <c r="AN56" s="300">
        <f t="shared" si="31"/>
        <v>12.5</v>
      </c>
      <c r="AO56" s="300">
        <f t="shared" si="32"/>
        <v>37.5</v>
      </c>
      <c r="AP56" s="300">
        <f t="shared" si="33"/>
        <v>12.5</v>
      </c>
      <c r="AQ56" s="300">
        <f t="shared" si="34"/>
        <v>87.5</v>
      </c>
      <c r="AR56" s="298">
        <v>4</v>
      </c>
      <c r="AS56" s="298">
        <v>10</v>
      </c>
      <c r="AT56" s="300">
        <f t="shared" si="35"/>
        <v>97.5</v>
      </c>
      <c r="AU56" s="299">
        <f t="shared" si="36"/>
        <v>1.0833333333333333</v>
      </c>
    </row>
    <row r="57" spans="2:47" x14ac:dyDescent="0.2">
      <c r="B57" s="298">
        <v>13</v>
      </c>
      <c r="C57" s="298">
        <v>54000</v>
      </c>
      <c r="D57" s="299">
        <f t="shared" si="3"/>
        <v>1.0111111111111111</v>
      </c>
      <c r="E57" s="298">
        <f t="shared" si="4"/>
        <v>5400</v>
      </c>
      <c r="F57" s="298">
        <v>1</v>
      </c>
      <c r="G57" s="298">
        <v>2</v>
      </c>
      <c r="H57" s="298">
        <v>1</v>
      </c>
      <c r="I57" s="298">
        <v>1</v>
      </c>
      <c r="J57" s="298">
        <v>1</v>
      </c>
      <c r="K57" s="298">
        <v>1</v>
      </c>
      <c r="L57" s="298">
        <v>0.6</v>
      </c>
      <c r="M57" s="298">
        <f t="shared" si="5"/>
        <v>0.4</v>
      </c>
      <c r="N57" s="298">
        <v>0.5</v>
      </c>
      <c r="O57" s="298">
        <f t="shared" si="6"/>
        <v>0.16666666666666666</v>
      </c>
      <c r="P57" s="298">
        <f t="shared" si="7"/>
        <v>0.66666666666666663</v>
      </c>
      <c r="Q57" s="298">
        <f t="shared" si="8"/>
        <v>0.16666666666666666</v>
      </c>
      <c r="R57" s="298">
        <f t="shared" si="9"/>
        <v>0.25</v>
      </c>
      <c r="S57" s="298">
        <f t="shared" si="10"/>
        <v>0.5</v>
      </c>
      <c r="T57" s="298">
        <f t="shared" si="11"/>
        <v>0.25</v>
      </c>
      <c r="U57" s="300">
        <f t="shared" si="12"/>
        <v>270</v>
      </c>
      <c r="V57" s="300">
        <f t="shared" si="13"/>
        <v>1080</v>
      </c>
      <c r="W57" s="300">
        <f t="shared" si="14"/>
        <v>270</v>
      </c>
      <c r="X57" s="300">
        <f t="shared" si="15"/>
        <v>270</v>
      </c>
      <c r="Y57" s="300">
        <f t="shared" si="16"/>
        <v>540</v>
      </c>
      <c r="Z57" s="300">
        <f t="shared" si="17"/>
        <v>270</v>
      </c>
      <c r="AA57" s="300">
        <f t="shared" si="18"/>
        <v>6.75</v>
      </c>
      <c r="AB57" s="300">
        <f t="shared" si="19"/>
        <v>27</v>
      </c>
      <c r="AC57" s="300">
        <f t="shared" si="20"/>
        <v>6.75</v>
      </c>
      <c r="AD57" s="300">
        <f t="shared" si="21"/>
        <v>6.75</v>
      </c>
      <c r="AE57" s="300">
        <f t="shared" si="22"/>
        <v>13.5</v>
      </c>
      <c r="AF57" s="300">
        <f t="shared" si="23"/>
        <v>6.75</v>
      </c>
      <c r="AG57" s="300">
        <f t="shared" si="24"/>
        <v>13.5</v>
      </c>
      <c r="AH57" s="300">
        <f t="shared" si="25"/>
        <v>54</v>
      </c>
      <c r="AI57" s="300">
        <f t="shared" si="26"/>
        <v>13.5</v>
      </c>
      <c r="AJ57" s="300">
        <f t="shared" si="27"/>
        <v>13.5</v>
      </c>
      <c r="AK57" s="300">
        <f t="shared" si="28"/>
        <v>27</v>
      </c>
      <c r="AL57" s="300">
        <f t="shared" si="29"/>
        <v>13.5</v>
      </c>
      <c r="AM57" s="300">
        <f t="shared" si="30"/>
        <v>27</v>
      </c>
      <c r="AN57" s="300">
        <f t="shared" si="31"/>
        <v>13.5</v>
      </c>
      <c r="AO57" s="300">
        <f t="shared" si="32"/>
        <v>27</v>
      </c>
      <c r="AP57" s="300">
        <f t="shared" si="33"/>
        <v>13.5</v>
      </c>
      <c r="AQ57" s="300">
        <f t="shared" si="34"/>
        <v>81</v>
      </c>
      <c r="AR57" s="298">
        <v>4</v>
      </c>
      <c r="AS57" s="298">
        <v>10</v>
      </c>
      <c r="AT57" s="300">
        <f t="shared" si="35"/>
        <v>91</v>
      </c>
      <c r="AU57" s="299">
        <f t="shared" si="36"/>
        <v>1.0111111111111111</v>
      </c>
    </row>
    <row r="58" spans="2:47" x14ac:dyDescent="0.2">
      <c r="B58" s="298">
        <v>14</v>
      </c>
      <c r="C58" s="298">
        <v>58000</v>
      </c>
      <c r="D58" s="299">
        <f t="shared" si="3"/>
        <v>1.0194444444444444</v>
      </c>
      <c r="E58" s="298">
        <f t="shared" si="4"/>
        <v>5800</v>
      </c>
      <c r="F58" s="298">
        <v>1</v>
      </c>
      <c r="G58" s="298">
        <v>2</v>
      </c>
      <c r="H58" s="298">
        <v>1</v>
      </c>
      <c r="I58" s="298">
        <v>1</v>
      </c>
      <c r="J58" s="298">
        <v>2</v>
      </c>
      <c r="K58" s="298">
        <v>0</v>
      </c>
      <c r="L58" s="298">
        <v>0.6</v>
      </c>
      <c r="M58" s="298">
        <f t="shared" si="5"/>
        <v>0.4</v>
      </c>
      <c r="N58" s="298">
        <v>0.5</v>
      </c>
      <c r="O58" s="298">
        <f t="shared" si="6"/>
        <v>0.16666666666666666</v>
      </c>
      <c r="P58" s="298">
        <f t="shared" si="7"/>
        <v>0.66666666666666663</v>
      </c>
      <c r="Q58" s="298">
        <f t="shared" si="8"/>
        <v>0.16666666666666666</v>
      </c>
      <c r="R58" s="298">
        <f t="shared" si="9"/>
        <v>0.25</v>
      </c>
      <c r="S58" s="298">
        <f t="shared" si="10"/>
        <v>0.5</v>
      </c>
      <c r="T58" s="298">
        <f t="shared" si="11"/>
        <v>0.25</v>
      </c>
      <c r="U58" s="300">
        <f t="shared" si="12"/>
        <v>290</v>
      </c>
      <c r="V58" s="300">
        <f t="shared" si="13"/>
        <v>1160</v>
      </c>
      <c r="W58" s="300">
        <f t="shared" si="14"/>
        <v>290</v>
      </c>
      <c r="X58" s="300">
        <f t="shared" si="15"/>
        <v>290</v>
      </c>
      <c r="Y58" s="300">
        <f t="shared" si="16"/>
        <v>580</v>
      </c>
      <c r="Z58" s="300">
        <f t="shared" si="17"/>
        <v>290</v>
      </c>
      <c r="AA58" s="300">
        <f t="shared" si="18"/>
        <v>7.25</v>
      </c>
      <c r="AB58" s="300">
        <f t="shared" si="19"/>
        <v>29</v>
      </c>
      <c r="AC58" s="300">
        <f t="shared" si="20"/>
        <v>7.25</v>
      </c>
      <c r="AD58" s="300">
        <f t="shared" si="21"/>
        <v>7.25</v>
      </c>
      <c r="AE58" s="300">
        <f t="shared" si="22"/>
        <v>14.5</v>
      </c>
      <c r="AF58" s="300">
        <f t="shared" si="23"/>
        <v>7.25</v>
      </c>
      <c r="AG58" s="300">
        <f t="shared" si="24"/>
        <v>14.5</v>
      </c>
      <c r="AH58" s="300">
        <f t="shared" si="25"/>
        <v>58</v>
      </c>
      <c r="AI58" s="300">
        <f t="shared" si="26"/>
        <v>14.5</v>
      </c>
      <c r="AJ58" s="300">
        <f t="shared" si="27"/>
        <v>14.5</v>
      </c>
      <c r="AK58" s="300">
        <f t="shared" si="28"/>
        <v>29</v>
      </c>
      <c r="AL58" s="300">
        <f t="shared" si="29"/>
        <v>14.5</v>
      </c>
      <c r="AM58" s="300">
        <f t="shared" si="30"/>
        <v>29</v>
      </c>
      <c r="AN58" s="300">
        <f t="shared" si="31"/>
        <v>14.5</v>
      </c>
      <c r="AO58" s="300">
        <f t="shared" si="32"/>
        <v>21.75</v>
      </c>
      <c r="AP58" s="300">
        <f t="shared" si="33"/>
        <v>14.5</v>
      </c>
      <c r="AQ58" s="300">
        <f t="shared" si="34"/>
        <v>79.75</v>
      </c>
      <c r="AR58" s="298">
        <v>4</v>
      </c>
      <c r="AS58" s="298">
        <v>12</v>
      </c>
      <c r="AT58" s="300">
        <f t="shared" si="35"/>
        <v>91.75</v>
      </c>
      <c r="AU58" s="299">
        <f t="shared" si="36"/>
        <v>1.0194444444444444</v>
      </c>
    </row>
    <row r="59" spans="2:47" x14ac:dyDescent="0.2">
      <c r="B59" s="298">
        <v>15</v>
      </c>
      <c r="C59" s="298">
        <v>62000</v>
      </c>
      <c r="D59" s="299">
        <f t="shared" si="3"/>
        <v>0.99444444444444446</v>
      </c>
      <c r="E59" s="298">
        <f t="shared" si="4"/>
        <v>6200</v>
      </c>
      <c r="F59" s="298">
        <v>1</v>
      </c>
      <c r="G59" s="298">
        <v>2</v>
      </c>
      <c r="H59" s="298">
        <v>1</v>
      </c>
      <c r="I59" s="298">
        <v>1</v>
      </c>
      <c r="J59" s="298">
        <v>2</v>
      </c>
      <c r="K59" s="298">
        <v>1</v>
      </c>
      <c r="L59" s="298">
        <v>0.6</v>
      </c>
      <c r="M59" s="298">
        <f t="shared" si="5"/>
        <v>0.4</v>
      </c>
      <c r="N59" s="298">
        <v>0.5</v>
      </c>
      <c r="O59" s="298">
        <f t="shared" si="6"/>
        <v>0.16666666666666666</v>
      </c>
      <c r="P59" s="298">
        <f t="shared" si="7"/>
        <v>0.66666666666666663</v>
      </c>
      <c r="Q59" s="298">
        <f t="shared" si="8"/>
        <v>0.16666666666666666</v>
      </c>
      <c r="R59" s="298">
        <f t="shared" si="9"/>
        <v>0.25</v>
      </c>
      <c r="S59" s="298">
        <f t="shared" si="10"/>
        <v>0.5</v>
      </c>
      <c r="T59" s="298">
        <f t="shared" si="11"/>
        <v>0.25</v>
      </c>
      <c r="U59" s="300">
        <f t="shared" si="12"/>
        <v>310</v>
      </c>
      <c r="V59" s="300">
        <f t="shared" si="13"/>
        <v>1240</v>
      </c>
      <c r="W59" s="300">
        <f t="shared" si="14"/>
        <v>310</v>
      </c>
      <c r="X59" s="300">
        <f t="shared" si="15"/>
        <v>310</v>
      </c>
      <c r="Y59" s="300">
        <f t="shared" si="16"/>
        <v>620</v>
      </c>
      <c r="Z59" s="300">
        <f t="shared" si="17"/>
        <v>310</v>
      </c>
      <c r="AA59" s="300">
        <f t="shared" si="18"/>
        <v>7.75</v>
      </c>
      <c r="AB59" s="300">
        <f t="shared" si="19"/>
        <v>31</v>
      </c>
      <c r="AC59" s="300">
        <f t="shared" si="20"/>
        <v>7.75</v>
      </c>
      <c r="AD59" s="300">
        <f t="shared" si="21"/>
        <v>7.75</v>
      </c>
      <c r="AE59" s="300">
        <f t="shared" si="22"/>
        <v>15.5</v>
      </c>
      <c r="AF59" s="300">
        <f t="shared" si="23"/>
        <v>7.75</v>
      </c>
      <c r="AG59" s="300">
        <f t="shared" si="24"/>
        <v>15.5</v>
      </c>
      <c r="AH59" s="300">
        <f t="shared" si="25"/>
        <v>62</v>
      </c>
      <c r="AI59" s="300">
        <f t="shared" si="26"/>
        <v>15.5</v>
      </c>
      <c r="AJ59" s="300">
        <f t="shared" si="27"/>
        <v>15.5</v>
      </c>
      <c r="AK59" s="300">
        <f t="shared" si="28"/>
        <v>31</v>
      </c>
      <c r="AL59" s="300">
        <f t="shared" si="29"/>
        <v>15.5</v>
      </c>
      <c r="AM59" s="300">
        <f t="shared" si="30"/>
        <v>31</v>
      </c>
      <c r="AN59" s="300">
        <f t="shared" si="31"/>
        <v>15.5</v>
      </c>
      <c r="AO59" s="300">
        <f t="shared" si="32"/>
        <v>15.5</v>
      </c>
      <c r="AP59" s="300">
        <f t="shared" si="33"/>
        <v>15.5</v>
      </c>
      <c r="AQ59" s="300">
        <f t="shared" si="34"/>
        <v>77.5</v>
      </c>
      <c r="AR59" s="298">
        <v>4</v>
      </c>
      <c r="AS59" s="298">
        <v>12</v>
      </c>
      <c r="AT59" s="300">
        <f t="shared" si="35"/>
        <v>89.5</v>
      </c>
      <c r="AU59" s="299">
        <f t="shared" si="36"/>
        <v>0.99444444444444446</v>
      </c>
    </row>
    <row r="60" spans="2:47" x14ac:dyDescent="0.2">
      <c r="B60" s="298">
        <v>16</v>
      </c>
      <c r="C60" s="298">
        <v>29000</v>
      </c>
      <c r="D60" s="299">
        <f t="shared" si="3"/>
        <v>0.99722222222222223</v>
      </c>
      <c r="E60" s="298">
        <f t="shared" si="4"/>
        <v>2900</v>
      </c>
      <c r="F60" s="298">
        <v>0</v>
      </c>
      <c r="G60" s="298">
        <v>2</v>
      </c>
      <c r="H60" s="298">
        <v>0</v>
      </c>
      <c r="I60" s="298">
        <v>0</v>
      </c>
      <c r="J60" s="298">
        <v>1</v>
      </c>
      <c r="K60" s="298">
        <v>0</v>
      </c>
      <c r="L60" s="298">
        <v>0.6</v>
      </c>
      <c r="M60" s="298">
        <f t="shared" si="5"/>
        <v>0.4</v>
      </c>
      <c r="N60" s="298">
        <v>0.5</v>
      </c>
      <c r="O60" s="298">
        <f t="shared" si="6"/>
        <v>0.16666666666666666</v>
      </c>
      <c r="P60" s="298">
        <f t="shared" si="7"/>
        <v>0.66666666666666663</v>
      </c>
      <c r="Q60" s="298">
        <f t="shared" si="8"/>
        <v>0.16666666666666666</v>
      </c>
      <c r="R60" s="298">
        <f t="shared" si="9"/>
        <v>0.25</v>
      </c>
      <c r="S60" s="298">
        <f t="shared" si="10"/>
        <v>0.5</v>
      </c>
      <c r="T60" s="298">
        <f t="shared" si="11"/>
        <v>0.25</v>
      </c>
      <c r="U60" s="300">
        <f t="shared" si="12"/>
        <v>145</v>
      </c>
      <c r="V60" s="300">
        <f t="shared" si="13"/>
        <v>580</v>
      </c>
      <c r="W60" s="300">
        <f t="shared" si="14"/>
        <v>145</v>
      </c>
      <c r="X60" s="300">
        <f t="shared" si="15"/>
        <v>145</v>
      </c>
      <c r="Y60" s="300">
        <f t="shared" si="16"/>
        <v>290</v>
      </c>
      <c r="Z60" s="300">
        <f t="shared" si="17"/>
        <v>145</v>
      </c>
      <c r="AA60" s="300">
        <f t="shared" si="18"/>
        <v>3.625</v>
      </c>
      <c r="AB60" s="300">
        <f t="shared" si="19"/>
        <v>14.5</v>
      </c>
      <c r="AC60" s="300">
        <f t="shared" si="20"/>
        <v>3.625</v>
      </c>
      <c r="AD60" s="300">
        <f t="shared" si="21"/>
        <v>3.625</v>
      </c>
      <c r="AE60" s="300">
        <f t="shared" si="22"/>
        <v>7.25</v>
      </c>
      <c r="AF60" s="300">
        <f t="shared" si="23"/>
        <v>3.625</v>
      </c>
      <c r="AG60" s="300">
        <f t="shared" si="24"/>
        <v>7.25</v>
      </c>
      <c r="AH60" s="300">
        <f t="shared" si="25"/>
        <v>29</v>
      </c>
      <c r="AI60" s="300">
        <f t="shared" si="26"/>
        <v>7.25</v>
      </c>
      <c r="AJ60" s="300">
        <f t="shared" si="27"/>
        <v>7.25</v>
      </c>
      <c r="AK60" s="300">
        <f t="shared" si="28"/>
        <v>14.5</v>
      </c>
      <c r="AL60" s="300">
        <f t="shared" si="29"/>
        <v>7.25</v>
      </c>
      <c r="AM60" s="300">
        <f t="shared" si="30"/>
        <v>21.75</v>
      </c>
      <c r="AN60" s="300">
        <f t="shared" si="31"/>
        <v>0</v>
      </c>
      <c r="AO60" s="300">
        <f t="shared" si="32"/>
        <v>29</v>
      </c>
      <c r="AP60" s="300">
        <f t="shared" si="33"/>
        <v>0</v>
      </c>
      <c r="AQ60" s="300">
        <f>AM60+IF(AN60=0,1*AM60,AN60)+AO60+IF(AP60=0,0.25*AO60,AP60)</f>
        <v>79.75</v>
      </c>
      <c r="AR60" s="298">
        <v>4</v>
      </c>
      <c r="AS60" s="298">
        <v>10</v>
      </c>
      <c r="AT60" s="300">
        <f t="shared" si="35"/>
        <v>89.75</v>
      </c>
      <c r="AU60" s="299">
        <f t="shared" si="36"/>
        <v>0.99722222222222223</v>
      </c>
    </row>
    <row r="61" spans="2:47" x14ac:dyDescent="0.2">
      <c r="B61" s="298">
        <v>17</v>
      </c>
      <c r="C61" s="298">
        <v>33000</v>
      </c>
      <c r="D61" s="299">
        <f t="shared" si="3"/>
        <v>1.0277777777777777</v>
      </c>
      <c r="E61" s="298">
        <f t="shared" si="4"/>
        <v>3300</v>
      </c>
      <c r="F61" s="298">
        <v>0</v>
      </c>
      <c r="G61" s="298">
        <v>2</v>
      </c>
      <c r="H61" s="298">
        <v>0</v>
      </c>
      <c r="I61" s="298">
        <v>1</v>
      </c>
      <c r="J61" s="298">
        <v>1</v>
      </c>
      <c r="K61" s="298">
        <v>0</v>
      </c>
      <c r="L61" s="298">
        <v>0.6</v>
      </c>
      <c r="M61" s="298">
        <f t="shared" si="5"/>
        <v>0.4</v>
      </c>
      <c r="N61" s="298">
        <v>0.5</v>
      </c>
      <c r="O61" s="298">
        <f t="shared" si="6"/>
        <v>0.16666666666666666</v>
      </c>
      <c r="P61" s="298">
        <f t="shared" si="7"/>
        <v>0.66666666666666663</v>
      </c>
      <c r="Q61" s="298">
        <f t="shared" si="8"/>
        <v>0.16666666666666666</v>
      </c>
      <c r="R61" s="298">
        <f t="shared" si="9"/>
        <v>0.25</v>
      </c>
      <c r="S61" s="298">
        <f t="shared" si="10"/>
        <v>0.5</v>
      </c>
      <c r="T61" s="298">
        <f t="shared" si="11"/>
        <v>0.25</v>
      </c>
      <c r="U61" s="300">
        <f t="shared" si="12"/>
        <v>165</v>
      </c>
      <c r="V61" s="300">
        <f t="shared" si="13"/>
        <v>660</v>
      </c>
      <c r="W61" s="300">
        <f t="shared" si="14"/>
        <v>165</v>
      </c>
      <c r="X61" s="300">
        <f t="shared" si="15"/>
        <v>165</v>
      </c>
      <c r="Y61" s="300">
        <f t="shared" si="16"/>
        <v>330</v>
      </c>
      <c r="Z61" s="300">
        <f t="shared" si="17"/>
        <v>165</v>
      </c>
      <c r="AA61" s="300">
        <f t="shared" si="18"/>
        <v>4.125</v>
      </c>
      <c r="AB61" s="300">
        <f t="shared" si="19"/>
        <v>16.5</v>
      </c>
      <c r="AC61" s="300">
        <f t="shared" si="20"/>
        <v>4.125</v>
      </c>
      <c r="AD61" s="300">
        <f t="shared" si="21"/>
        <v>4.125</v>
      </c>
      <c r="AE61" s="300">
        <f t="shared" si="22"/>
        <v>8.25</v>
      </c>
      <c r="AF61" s="300">
        <f t="shared" si="23"/>
        <v>4.125</v>
      </c>
      <c r="AG61" s="300">
        <f t="shared" si="24"/>
        <v>8.25</v>
      </c>
      <c r="AH61" s="300">
        <f t="shared" si="25"/>
        <v>33</v>
      </c>
      <c r="AI61" s="300">
        <f t="shared" si="26"/>
        <v>8.25</v>
      </c>
      <c r="AJ61" s="300">
        <f t="shared" si="27"/>
        <v>8.25</v>
      </c>
      <c r="AK61" s="300">
        <f t="shared" si="28"/>
        <v>16.5</v>
      </c>
      <c r="AL61" s="300">
        <f t="shared" si="29"/>
        <v>8.25</v>
      </c>
      <c r="AM61" s="300">
        <f t="shared" si="30"/>
        <v>24.75</v>
      </c>
      <c r="AN61" s="300">
        <f t="shared" si="31"/>
        <v>0</v>
      </c>
      <c r="AO61" s="300">
        <f t="shared" si="32"/>
        <v>24.75</v>
      </c>
      <c r="AP61" s="300">
        <f t="shared" si="33"/>
        <v>8.25</v>
      </c>
      <c r="AQ61" s="300">
        <f>AM61+IF(AN61=0,1*AM61,AN61)+AO61+IF(AP61=0,0.25*AO61,AP61)</f>
        <v>82.5</v>
      </c>
      <c r="AR61" s="298">
        <v>4</v>
      </c>
      <c r="AS61" s="298">
        <v>10</v>
      </c>
      <c r="AT61" s="300">
        <f t="shared" si="35"/>
        <v>92.5</v>
      </c>
      <c r="AU61" s="299">
        <f t="shared" si="36"/>
        <v>1.0277777777777777</v>
      </c>
    </row>
    <row r="62" spans="2:47" x14ac:dyDescent="0.2">
      <c r="B62" s="298">
        <v>18</v>
      </c>
      <c r="C62" s="298">
        <v>37000</v>
      </c>
      <c r="D62" s="299">
        <f t="shared" si="3"/>
        <v>1.0361111111111112</v>
      </c>
      <c r="E62" s="298">
        <f t="shared" si="4"/>
        <v>3700</v>
      </c>
      <c r="F62" s="298">
        <v>0</v>
      </c>
      <c r="G62" s="298">
        <v>2</v>
      </c>
      <c r="H62" s="298">
        <v>0</v>
      </c>
      <c r="I62" s="298">
        <v>1</v>
      </c>
      <c r="J62" s="298">
        <v>1</v>
      </c>
      <c r="K62" s="298">
        <v>1</v>
      </c>
      <c r="L62" s="298">
        <v>0.6</v>
      </c>
      <c r="M62" s="298">
        <f t="shared" si="5"/>
        <v>0.4</v>
      </c>
      <c r="N62" s="298">
        <v>0.5</v>
      </c>
      <c r="O62" s="298">
        <f t="shared" si="6"/>
        <v>0.16666666666666666</v>
      </c>
      <c r="P62" s="298">
        <f t="shared" si="7"/>
        <v>0.66666666666666663</v>
      </c>
      <c r="Q62" s="298">
        <f t="shared" si="8"/>
        <v>0.16666666666666666</v>
      </c>
      <c r="R62" s="298">
        <f t="shared" si="9"/>
        <v>0.25</v>
      </c>
      <c r="S62" s="298">
        <f t="shared" si="10"/>
        <v>0.5</v>
      </c>
      <c r="T62" s="298">
        <f t="shared" si="11"/>
        <v>0.25</v>
      </c>
      <c r="U62" s="300">
        <f t="shared" si="12"/>
        <v>185</v>
      </c>
      <c r="V62" s="300">
        <f t="shared" si="13"/>
        <v>740</v>
      </c>
      <c r="W62" s="300">
        <f t="shared" si="14"/>
        <v>185</v>
      </c>
      <c r="X62" s="300">
        <f t="shared" si="15"/>
        <v>185</v>
      </c>
      <c r="Y62" s="300">
        <f t="shared" si="16"/>
        <v>370</v>
      </c>
      <c r="Z62" s="300">
        <f t="shared" si="17"/>
        <v>185</v>
      </c>
      <c r="AA62" s="300">
        <f t="shared" si="18"/>
        <v>4.625</v>
      </c>
      <c r="AB62" s="300">
        <f t="shared" si="19"/>
        <v>18.5</v>
      </c>
      <c r="AC62" s="300">
        <f t="shared" si="20"/>
        <v>4.625</v>
      </c>
      <c r="AD62" s="300">
        <f t="shared" si="21"/>
        <v>4.625</v>
      </c>
      <c r="AE62" s="300">
        <f t="shared" si="22"/>
        <v>9.25</v>
      </c>
      <c r="AF62" s="300">
        <f t="shared" si="23"/>
        <v>4.625</v>
      </c>
      <c r="AG62" s="300">
        <f t="shared" si="24"/>
        <v>9.25</v>
      </c>
      <c r="AH62" s="300">
        <f t="shared" si="25"/>
        <v>37</v>
      </c>
      <c r="AI62" s="300">
        <f t="shared" si="26"/>
        <v>9.25</v>
      </c>
      <c r="AJ62" s="300">
        <f t="shared" si="27"/>
        <v>9.25</v>
      </c>
      <c r="AK62" s="300">
        <f t="shared" si="28"/>
        <v>18.5</v>
      </c>
      <c r="AL62" s="300">
        <f t="shared" si="29"/>
        <v>9.25</v>
      </c>
      <c r="AM62" s="300">
        <f t="shared" si="30"/>
        <v>27.75</v>
      </c>
      <c r="AN62" s="300">
        <f t="shared" si="31"/>
        <v>0</v>
      </c>
      <c r="AO62" s="300">
        <f t="shared" si="32"/>
        <v>18.5</v>
      </c>
      <c r="AP62" s="300">
        <f t="shared" si="33"/>
        <v>9.25</v>
      </c>
      <c r="AQ62" s="300">
        <f>AM62+IF(AN62=0,1*AM62,AN62)+AO62+IF(AP62=0,0.25*AO62,AP62)</f>
        <v>83.25</v>
      </c>
      <c r="AR62" s="298">
        <v>4</v>
      </c>
      <c r="AS62" s="298">
        <v>10</v>
      </c>
      <c r="AT62" s="300">
        <f t="shared" si="35"/>
        <v>93.25</v>
      </c>
      <c r="AU62" s="299">
        <f t="shared" si="36"/>
        <v>1.0361111111111112</v>
      </c>
    </row>
    <row r="63" spans="2:47" x14ac:dyDescent="0.2">
      <c r="B63" s="298">
        <v>19</v>
      </c>
      <c r="C63" s="298">
        <v>39000</v>
      </c>
      <c r="D63" s="299">
        <f t="shared" si="3"/>
        <v>1.0541666666666667</v>
      </c>
      <c r="E63" s="298">
        <f t="shared" si="4"/>
        <v>3900</v>
      </c>
      <c r="F63" s="298">
        <v>0</v>
      </c>
      <c r="G63" s="298">
        <v>2</v>
      </c>
      <c r="H63" s="298">
        <v>0</v>
      </c>
      <c r="I63" s="298">
        <v>1</v>
      </c>
      <c r="J63" s="298">
        <v>2</v>
      </c>
      <c r="K63" s="298">
        <v>0</v>
      </c>
      <c r="L63" s="298">
        <v>0.6</v>
      </c>
      <c r="M63" s="298">
        <f t="shared" si="5"/>
        <v>0.4</v>
      </c>
      <c r="N63" s="298">
        <v>0.5</v>
      </c>
      <c r="O63" s="298">
        <f t="shared" si="6"/>
        <v>0.16666666666666666</v>
      </c>
      <c r="P63" s="298">
        <f t="shared" si="7"/>
        <v>0.66666666666666663</v>
      </c>
      <c r="Q63" s="298">
        <f t="shared" si="8"/>
        <v>0.16666666666666666</v>
      </c>
      <c r="R63" s="298">
        <f t="shared" si="9"/>
        <v>0.25</v>
      </c>
      <c r="S63" s="298">
        <f t="shared" si="10"/>
        <v>0.5</v>
      </c>
      <c r="T63" s="298">
        <f t="shared" si="11"/>
        <v>0.25</v>
      </c>
      <c r="U63" s="300">
        <f t="shared" si="12"/>
        <v>195</v>
      </c>
      <c r="V63" s="300">
        <f t="shared" si="13"/>
        <v>780</v>
      </c>
      <c r="W63" s="300">
        <f t="shared" si="14"/>
        <v>195</v>
      </c>
      <c r="X63" s="300">
        <f t="shared" si="15"/>
        <v>195</v>
      </c>
      <c r="Y63" s="300">
        <f t="shared" si="16"/>
        <v>390</v>
      </c>
      <c r="Z63" s="300">
        <f t="shared" si="17"/>
        <v>195</v>
      </c>
      <c r="AA63" s="300">
        <f t="shared" si="18"/>
        <v>4.875</v>
      </c>
      <c r="AB63" s="300">
        <f t="shared" si="19"/>
        <v>19.5</v>
      </c>
      <c r="AC63" s="300">
        <f t="shared" si="20"/>
        <v>4.875</v>
      </c>
      <c r="AD63" s="300">
        <f t="shared" si="21"/>
        <v>4.875</v>
      </c>
      <c r="AE63" s="300">
        <f t="shared" si="22"/>
        <v>9.75</v>
      </c>
      <c r="AF63" s="300">
        <f t="shared" si="23"/>
        <v>4.875</v>
      </c>
      <c r="AG63" s="300">
        <f t="shared" si="24"/>
        <v>9.75</v>
      </c>
      <c r="AH63" s="300">
        <f t="shared" si="25"/>
        <v>39</v>
      </c>
      <c r="AI63" s="300">
        <f t="shared" si="26"/>
        <v>9.75</v>
      </c>
      <c r="AJ63" s="300">
        <f t="shared" si="27"/>
        <v>9.75</v>
      </c>
      <c r="AK63" s="300">
        <f t="shared" si="28"/>
        <v>19.5</v>
      </c>
      <c r="AL63" s="300">
        <f t="shared" si="29"/>
        <v>9.75</v>
      </c>
      <c r="AM63" s="300">
        <f t="shared" si="30"/>
        <v>29.25</v>
      </c>
      <c r="AN63" s="300">
        <f t="shared" si="31"/>
        <v>0</v>
      </c>
      <c r="AO63" s="300">
        <f t="shared" si="32"/>
        <v>14.625</v>
      </c>
      <c r="AP63" s="300">
        <f t="shared" si="33"/>
        <v>9.75</v>
      </c>
      <c r="AQ63" s="300">
        <f>AM63+IF(AN63=0,1*AM63,AN63)+AO63+IF(AP63=0,0.25*AO63,AP63)</f>
        <v>82.875</v>
      </c>
      <c r="AR63" s="298">
        <v>4</v>
      </c>
      <c r="AS63" s="298">
        <v>12</v>
      </c>
      <c r="AT63" s="300">
        <f t="shared" si="35"/>
        <v>94.875</v>
      </c>
      <c r="AU63" s="299">
        <f t="shared" si="36"/>
        <v>1.0541666666666667</v>
      </c>
    </row>
    <row r="64" spans="2:47" x14ac:dyDescent="0.2">
      <c r="B64" s="298">
        <v>20</v>
      </c>
      <c r="C64" s="298">
        <v>43000</v>
      </c>
      <c r="D64" s="299">
        <f t="shared" si="3"/>
        <v>1.0888888888888888</v>
      </c>
      <c r="E64" s="298">
        <f t="shared" si="4"/>
        <v>4300</v>
      </c>
      <c r="F64" s="298">
        <v>0</v>
      </c>
      <c r="G64" s="298">
        <v>2</v>
      </c>
      <c r="H64" s="298">
        <v>0</v>
      </c>
      <c r="I64" s="298">
        <v>1</v>
      </c>
      <c r="J64" s="298">
        <v>2</v>
      </c>
      <c r="K64" s="298">
        <v>1</v>
      </c>
      <c r="L64" s="298">
        <v>0.6</v>
      </c>
      <c r="M64" s="298">
        <f t="shared" si="5"/>
        <v>0.4</v>
      </c>
      <c r="N64" s="298">
        <v>0.5</v>
      </c>
      <c r="O64" s="298">
        <f t="shared" si="6"/>
        <v>0.16666666666666666</v>
      </c>
      <c r="P64" s="298">
        <f t="shared" si="7"/>
        <v>0.66666666666666663</v>
      </c>
      <c r="Q64" s="298">
        <f t="shared" si="8"/>
        <v>0.16666666666666666</v>
      </c>
      <c r="R64" s="298">
        <f t="shared" si="9"/>
        <v>0.25</v>
      </c>
      <c r="S64" s="298">
        <f t="shared" si="10"/>
        <v>0.5</v>
      </c>
      <c r="T64" s="298">
        <f t="shared" si="11"/>
        <v>0.25</v>
      </c>
      <c r="U64" s="300">
        <f t="shared" si="12"/>
        <v>215</v>
      </c>
      <c r="V64" s="300">
        <f t="shared" si="13"/>
        <v>860</v>
      </c>
      <c r="W64" s="300">
        <f t="shared" si="14"/>
        <v>215</v>
      </c>
      <c r="X64" s="300">
        <f t="shared" si="15"/>
        <v>215</v>
      </c>
      <c r="Y64" s="300">
        <f t="shared" si="16"/>
        <v>430</v>
      </c>
      <c r="Z64" s="300">
        <f t="shared" si="17"/>
        <v>215</v>
      </c>
      <c r="AA64" s="300">
        <f t="shared" si="18"/>
        <v>5.375</v>
      </c>
      <c r="AB64" s="300">
        <f t="shared" si="19"/>
        <v>21.5</v>
      </c>
      <c r="AC64" s="300">
        <f t="shared" si="20"/>
        <v>5.375</v>
      </c>
      <c r="AD64" s="300">
        <f t="shared" si="21"/>
        <v>5.375</v>
      </c>
      <c r="AE64" s="300">
        <f t="shared" si="22"/>
        <v>10.75</v>
      </c>
      <c r="AF64" s="300">
        <f t="shared" si="23"/>
        <v>5.375</v>
      </c>
      <c r="AG64" s="300">
        <f t="shared" si="24"/>
        <v>10.75</v>
      </c>
      <c r="AH64" s="300">
        <f t="shared" si="25"/>
        <v>43</v>
      </c>
      <c r="AI64" s="300">
        <f t="shared" si="26"/>
        <v>10.75</v>
      </c>
      <c r="AJ64" s="300">
        <f t="shared" si="27"/>
        <v>10.75</v>
      </c>
      <c r="AK64" s="300">
        <f t="shared" si="28"/>
        <v>21.5</v>
      </c>
      <c r="AL64" s="300">
        <f t="shared" si="29"/>
        <v>10.75</v>
      </c>
      <c r="AM64" s="300">
        <f t="shared" si="30"/>
        <v>32.25</v>
      </c>
      <c r="AN64" s="300">
        <f t="shared" si="31"/>
        <v>0</v>
      </c>
      <c r="AO64" s="300">
        <f t="shared" si="32"/>
        <v>10.75</v>
      </c>
      <c r="AP64" s="300">
        <f t="shared" si="33"/>
        <v>10.75</v>
      </c>
      <c r="AQ64" s="300">
        <f>AM64+IF(AN64=0,1*AM64,AN64)+AO64+IF(AP64=0,0.25*AO64,AP64)</f>
        <v>86</v>
      </c>
      <c r="AR64" s="298">
        <v>4</v>
      </c>
      <c r="AS64" s="298">
        <v>12</v>
      </c>
      <c r="AT64" s="300">
        <f t="shared" si="35"/>
        <v>98</v>
      </c>
      <c r="AU64" s="299">
        <f t="shared" si="36"/>
        <v>1.0888888888888888</v>
      </c>
    </row>
    <row r="65" spans="2:47" x14ac:dyDescent="0.2">
      <c r="B65" s="298">
        <v>21</v>
      </c>
      <c r="C65" s="298">
        <v>35000</v>
      </c>
      <c r="D65" s="299">
        <f t="shared" si="3"/>
        <v>1.1055555555555556</v>
      </c>
      <c r="E65" s="298">
        <f t="shared" si="4"/>
        <v>3500</v>
      </c>
      <c r="F65" s="298">
        <v>0</v>
      </c>
      <c r="G65" s="298">
        <v>2</v>
      </c>
      <c r="H65" s="298">
        <v>0</v>
      </c>
      <c r="I65" s="298">
        <v>0</v>
      </c>
      <c r="J65" s="298">
        <v>2</v>
      </c>
      <c r="K65" s="298">
        <v>0</v>
      </c>
      <c r="L65" s="298">
        <v>0.6</v>
      </c>
      <c r="M65" s="298">
        <f t="shared" si="5"/>
        <v>0.4</v>
      </c>
      <c r="N65" s="298">
        <v>0.5</v>
      </c>
      <c r="O65" s="298">
        <f t="shared" si="6"/>
        <v>0.16666666666666666</v>
      </c>
      <c r="P65" s="298">
        <f t="shared" si="7"/>
        <v>0.66666666666666663</v>
      </c>
      <c r="Q65" s="298">
        <f t="shared" si="8"/>
        <v>0.16666666666666666</v>
      </c>
      <c r="R65" s="298">
        <f t="shared" si="9"/>
        <v>0.25</v>
      </c>
      <c r="S65" s="298">
        <f t="shared" si="10"/>
        <v>0.5</v>
      </c>
      <c r="T65" s="298">
        <f t="shared" si="11"/>
        <v>0.25</v>
      </c>
      <c r="U65" s="300">
        <f t="shared" si="12"/>
        <v>175</v>
      </c>
      <c r="V65" s="300">
        <f t="shared" si="13"/>
        <v>700</v>
      </c>
      <c r="W65" s="300">
        <f t="shared" si="14"/>
        <v>175</v>
      </c>
      <c r="X65" s="300">
        <f t="shared" si="15"/>
        <v>175</v>
      </c>
      <c r="Y65" s="300">
        <f t="shared" si="16"/>
        <v>350</v>
      </c>
      <c r="Z65" s="300">
        <f t="shared" si="17"/>
        <v>175</v>
      </c>
      <c r="AA65" s="300">
        <f t="shared" si="18"/>
        <v>4.375</v>
      </c>
      <c r="AB65" s="300">
        <f t="shared" si="19"/>
        <v>17.5</v>
      </c>
      <c r="AC65" s="300">
        <f t="shared" si="20"/>
        <v>4.375</v>
      </c>
      <c r="AD65" s="300">
        <f t="shared" si="21"/>
        <v>4.375</v>
      </c>
      <c r="AE65" s="300">
        <f t="shared" si="22"/>
        <v>8.75</v>
      </c>
      <c r="AF65" s="300">
        <f t="shared" si="23"/>
        <v>4.375</v>
      </c>
      <c r="AG65" s="300">
        <f t="shared" si="24"/>
        <v>8.75</v>
      </c>
      <c r="AH65" s="300">
        <f t="shared" si="25"/>
        <v>35</v>
      </c>
      <c r="AI65" s="300">
        <f t="shared" si="26"/>
        <v>8.75</v>
      </c>
      <c r="AJ65" s="300">
        <f t="shared" si="27"/>
        <v>8.75</v>
      </c>
      <c r="AK65" s="300">
        <f t="shared" si="28"/>
        <v>17.5</v>
      </c>
      <c r="AL65" s="300">
        <f t="shared" si="29"/>
        <v>8.75</v>
      </c>
      <c r="AM65" s="300">
        <f t="shared" si="30"/>
        <v>26.25</v>
      </c>
      <c r="AN65" s="300">
        <f t="shared" si="31"/>
        <v>0</v>
      </c>
      <c r="AO65" s="300">
        <f t="shared" si="32"/>
        <v>17.5</v>
      </c>
      <c r="AP65" s="300">
        <f t="shared" si="33"/>
        <v>0</v>
      </c>
      <c r="AQ65" s="300">
        <f>AM65+IF(AN65=0,1*AM65,AN65)+AO65+IF(AP65=0,1*AO65,AP65)</f>
        <v>87.5</v>
      </c>
      <c r="AR65" s="298">
        <v>4</v>
      </c>
      <c r="AS65" s="298">
        <v>12</v>
      </c>
      <c r="AT65" s="300">
        <f t="shared" si="35"/>
        <v>99.5</v>
      </c>
      <c r="AU65" s="299">
        <f t="shared" si="36"/>
        <v>1.1055555555555556</v>
      </c>
    </row>
    <row r="66" spans="2:47" x14ac:dyDescent="0.2">
      <c r="B66" s="298">
        <v>22</v>
      </c>
      <c r="C66" s="298">
        <v>32000</v>
      </c>
      <c r="D66" s="299">
        <f t="shared" si="3"/>
        <v>0.93333333333333335</v>
      </c>
      <c r="E66" s="298">
        <f t="shared" si="4"/>
        <v>3200</v>
      </c>
      <c r="F66" s="298">
        <v>0</v>
      </c>
      <c r="G66" s="298">
        <v>3</v>
      </c>
      <c r="H66" s="298">
        <v>0</v>
      </c>
      <c r="I66" s="298">
        <v>0</v>
      </c>
      <c r="J66" s="298">
        <v>1</v>
      </c>
      <c r="K66" s="298">
        <v>0</v>
      </c>
      <c r="L66" s="298">
        <v>0.6</v>
      </c>
      <c r="M66" s="298">
        <f t="shared" si="5"/>
        <v>0.4</v>
      </c>
      <c r="N66" s="298">
        <v>0.5</v>
      </c>
      <c r="O66" s="298">
        <f t="shared" si="6"/>
        <v>0.16666666666666666</v>
      </c>
      <c r="P66" s="298">
        <f t="shared" si="7"/>
        <v>0.66666666666666663</v>
      </c>
      <c r="Q66" s="298">
        <f t="shared" si="8"/>
        <v>0.16666666666666666</v>
      </c>
      <c r="R66" s="298">
        <f t="shared" si="9"/>
        <v>0.25</v>
      </c>
      <c r="S66" s="298">
        <f t="shared" si="10"/>
        <v>0.5</v>
      </c>
      <c r="T66" s="298">
        <f t="shared" si="11"/>
        <v>0.25</v>
      </c>
      <c r="U66" s="300">
        <f t="shared" si="12"/>
        <v>160</v>
      </c>
      <c r="V66" s="300">
        <f t="shared" si="13"/>
        <v>640</v>
      </c>
      <c r="W66" s="300">
        <f t="shared" si="14"/>
        <v>160</v>
      </c>
      <c r="X66" s="300">
        <f t="shared" si="15"/>
        <v>160</v>
      </c>
      <c r="Y66" s="300">
        <f t="shared" si="16"/>
        <v>320</v>
      </c>
      <c r="Z66" s="300">
        <f t="shared" si="17"/>
        <v>160</v>
      </c>
      <c r="AA66" s="300">
        <f t="shared" si="18"/>
        <v>4</v>
      </c>
      <c r="AB66" s="300">
        <f t="shared" si="19"/>
        <v>16</v>
      </c>
      <c r="AC66" s="300">
        <f t="shared" si="20"/>
        <v>4</v>
      </c>
      <c r="AD66" s="300">
        <f t="shared" si="21"/>
        <v>4</v>
      </c>
      <c r="AE66" s="300">
        <f t="shared" si="22"/>
        <v>8</v>
      </c>
      <c r="AF66" s="300">
        <f t="shared" si="23"/>
        <v>4</v>
      </c>
      <c r="AG66" s="300">
        <f t="shared" si="24"/>
        <v>8</v>
      </c>
      <c r="AH66" s="300">
        <f t="shared" si="25"/>
        <v>32</v>
      </c>
      <c r="AI66" s="300">
        <f t="shared" si="26"/>
        <v>8</v>
      </c>
      <c r="AJ66" s="300">
        <f t="shared" si="27"/>
        <v>8</v>
      </c>
      <c r="AK66" s="300">
        <f t="shared" si="28"/>
        <v>16</v>
      </c>
      <c r="AL66" s="300">
        <f t="shared" si="29"/>
        <v>8</v>
      </c>
      <c r="AM66" s="300">
        <f t="shared" si="30"/>
        <v>16</v>
      </c>
      <c r="AN66" s="300">
        <f t="shared" si="31"/>
        <v>0</v>
      </c>
      <c r="AO66" s="300">
        <f t="shared" si="32"/>
        <v>32</v>
      </c>
      <c r="AP66" s="300">
        <f t="shared" si="33"/>
        <v>0</v>
      </c>
      <c r="AQ66" s="300">
        <f>AM66+IF(AN66=0,1*AM66,AN66)+AO66+IF(AP66=0,0.25*AO66,AP66)</f>
        <v>72</v>
      </c>
      <c r="AR66" s="298">
        <v>4</v>
      </c>
      <c r="AS66" s="298">
        <v>12</v>
      </c>
      <c r="AT66" s="300">
        <f t="shared" si="35"/>
        <v>84</v>
      </c>
      <c r="AU66" s="299">
        <f t="shared" si="36"/>
        <v>0.93333333333333335</v>
      </c>
    </row>
    <row r="67" spans="2:47" x14ac:dyDescent="0.2">
      <c r="B67" s="298">
        <v>23</v>
      </c>
      <c r="C67" s="298">
        <v>36000</v>
      </c>
      <c r="D67" s="299">
        <f t="shared" si="3"/>
        <v>0.93333333333333335</v>
      </c>
      <c r="E67" s="298">
        <f t="shared" si="4"/>
        <v>3600</v>
      </c>
      <c r="F67" s="298">
        <v>0</v>
      </c>
      <c r="G67" s="298">
        <v>3</v>
      </c>
      <c r="H67" s="298">
        <v>0</v>
      </c>
      <c r="I67" s="298">
        <v>1</v>
      </c>
      <c r="J67" s="298">
        <v>1</v>
      </c>
      <c r="K67" s="298">
        <v>0</v>
      </c>
      <c r="L67" s="298">
        <v>0.6</v>
      </c>
      <c r="M67" s="298">
        <f t="shared" si="5"/>
        <v>0.4</v>
      </c>
      <c r="N67" s="298">
        <v>0.5</v>
      </c>
      <c r="O67" s="298">
        <f t="shared" si="6"/>
        <v>0.16666666666666666</v>
      </c>
      <c r="P67" s="298">
        <f t="shared" si="7"/>
        <v>0.66666666666666663</v>
      </c>
      <c r="Q67" s="298">
        <f t="shared" si="8"/>
        <v>0.16666666666666666</v>
      </c>
      <c r="R67" s="298">
        <f t="shared" si="9"/>
        <v>0.25</v>
      </c>
      <c r="S67" s="298">
        <f t="shared" si="10"/>
        <v>0.5</v>
      </c>
      <c r="T67" s="298">
        <f t="shared" si="11"/>
        <v>0.25</v>
      </c>
      <c r="U67" s="300">
        <f t="shared" si="12"/>
        <v>180</v>
      </c>
      <c r="V67" s="300">
        <f t="shared" si="13"/>
        <v>720</v>
      </c>
      <c r="W67" s="300">
        <f t="shared" si="14"/>
        <v>180</v>
      </c>
      <c r="X67" s="300">
        <f t="shared" si="15"/>
        <v>180</v>
      </c>
      <c r="Y67" s="300">
        <f t="shared" si="16"/>
        <v>360</v>
      </c>
      <c r="Z67" s="300">
        <f t="shared" si="17"/>
        <v>180</v>
      </c>
      <c r="AA67" s="300">
        <f t="shared" si="18"/>
        <v>4.5</v>
      </c>
      <c r="AB67" s="300">
        <f t="shared" si="19"/>
        <v>18</v>
      </c>
      <c r="AC67" s="300">
        <f t="shared" si="20"/>
        <v>4.5</v>
      </c>
      <c r="AD67" s="300">
        <f t="shared" si="21"/>
        <v>4.5</v>
      </c>
      <c r="AE67" s="300">
        <f t="shared" si="22"/>
        <v>9</v>
      </c>
      <c r="AF67" s="300">
        <f t="shared" si="23"/>
        <v>4.5</v>
      </c>
      <c r="AG67" s="300">
        <f t="shared" si="24"/>
        <v>9</v>
      </c>
      <c r="AH67" s="300">
        <f t="shared" si="25"/>
        <v>36</v>
      </c>
      <c r="AI67" s="300">
        <f t="shared" si="26"/>
        <v>9</v>
      </c>
      <c r="AJ67" s="300">
        <f t="shared" si="27"/>
        <v>9</v>
      </c>
      <c r="AK67" s="300">
        <f t="shared" si="28"/>
        <v>18</v>
      </c>
      <c r="AL67" s="300">
        <f t="shared" si="29"/>
        <v>9</v>
      </c>
      <c r="AM67" s="300">
        <f t="shared" si="30"/>
        <v>18</v>
      </c>
      <c r="AN67" s="300">
        <f t="shared" si="31"/>
        <v>0</v>
      </c>
      <c r="AO67" s="300">
        <f t="shared" si="32"/>
        <v>27</v>
      </c>
      <c r="AP67" s="300">
        <f t="shared" si="33"/>
        <v>9</v>
      </c>
      <c r="AQ67" s="300">
        <f>AM67+IF(AN67=0,1*AM67,AN67)+AO67+IF(AP67=0,0.25*AO67,AP67)</f>
        <v>72</v>
      </c>
      <c r="AR67" s="298">
        <v>4</v>
      </c>
      <c r="AS67" s="298">
        <v>12</v>
      </c>
      <c r="AT67" s="300">
        <f t="shared" si="35"/>
        <v>84</v>
      </c>
      <c r="AU67" s="299">
        <f t="shared" si="36"/>
        <v>0.93333333333333335</v>
      </c>
    </row>
    <row r="68" spans="2:47" x14ac:dyDescent="0.2">
      <c r="B68" s="298">
        <v>24</v>
      </c>
      <c r="C68" s="298">
        <v>40000</v>
      </c>
      <c r="D68" s="299">
        <f t="shared" si="3"/>
        <v>0.91111111111111109</v>
      </c>
      <c r="E68" s="298">
        <f t="shared" si="4"/>
        <v>4000</v>
      </c>
      <c r="F68" s="298">
        <v>0</v>
      </c>
      <c r="G68" s="298">
        <v>3</v>
      </c>
      <c r="H68" s="298">
        <v>0</v>
      </c>
      <c r="I68" s="298">
        <v>1</v>
      </c>
      <c r="J68" s="298">
        <v>1</v>
      </c>
      <c r="K68" s="298">
        <v>1</v>
      </c>
      <c r="L68" s="298">
        <v>0.6</v>
      </c>
      <c r="M68" s="298">
        <f t="shared" si="5"/>
        <v>0.4</v>
      </c>
      <c r="N68" s="298">
        <v>0.5</v>
      </c>
      <c r="O68" s="298">
        <f t="shared" si="6"/>
        <v>0.16666666666666666</v>
      </c>
      <c r="P68" s="298">
        <f t="shared" si="7"/>
        <v>0.66666666666666663</v>
      </c>
      <c r="Q68" s="298">
        <f t="shared" si="8"/>
        <v>0.16666666666666666</v>
      </c>
      <c r="R68" s="298">
        <f t="shared" si="9"/>
        <v>0.25</v>
      </c>
      <c r="S68" s="298">
        <f t="shared" si="10"/>
        <v>0.5</v>
      </c>
      <c r="T68" s="298">
        <f t="shared" si="11"/>
        <v>0.25</v>
      </c>
      <c r="U68" s="300">
        <f t="shared" si="12"/>
        <v>200</v>
      </c>
      <c r="V68" s="300">
        <f t="shared" si="13"/>
        <v>800</v>
      </c>
      <c r="W68" s="300">
        <f t="shared" si="14"/>
        <v>200</v>
      </c>
      <c r="X68" s="300">
        <f t="shared" si="15"/>
        <v>200</v>
      </c>
      <c r="Y68" s="300">
        <f t="shared" si="16"/>
        <v>400</v>
      </c>
      <c r="Z68" s="300">
        <f t="shared" si="17"/>
        <v>200</v>
      </c>
      <c r="AA68" s="300">
        <f t="shared" si="18"/>
        <v>5</v>
      </c>
      <c r="AB68" s="300">
        <f t="shared" si="19"/>
        <v>20</v>
      </c>
      <c r="AC68" s="300">
        <f t="shared" si="20"/>
        <v>5</v>
      </c>
      <c r="AD68" s="300">
        <f t="shared" si="21"/>
        <v>5</v>
      </c>
      <c r="AE68" s="300">
        <f t="shared" si="22"/>
        <v>10</v>
      </c>
      <c r="AF68" s="300">
        <f t="shared" si="23"/>
        <v>5</v>
      </c>
      <c r="AG68" s="300">
        <f t="shared" si="24"/>
        <v>10</v>
      </c>
      <c r="AH68" s="300">
        <f t="shared" si="25"/>
        <v>40</v>
      </c>
      <c r="AI68" s="300">
        <f t="shared" si="26"/>
        <v>10</v>
      </c>
      <c r="AJ68" s="300">
        <f t="shared" si="27"/>
        <v>10</v>
      </c>
      <c r="AK68" s="300">
        <f t="shared" si="28"/>
        <v>20</v>
      </c>
      <c r="AL68" s="300">
        <f t="shared" si="29"/>
        <v>10</v>
      </c>
      <c r="AM68" s="300">
        <f t="shared" si="30"/>
        <v>20</v>
      </c>
      <c r="AN68" s="300">
        <f t="shared" si="31"/>
        <v>0</v>
      </c>
      <c r="AO68" s="300">
        <f t="shared" si="32"/>
        <v>20</v>
      </c>
      <c r="AP68" s="300">
        <f t="shared" si="33"/>
        <v>10</v>
      </c>
      <c r="AQ68" s="300">
        <f>AM68+IF(AN68=0,1*AM68,AN68)+AO68+IF(AP68=0,0.25*AO68,AP68)</f>
        <v>70</v>
      </c>
      <c r="AR68" s="298">
        <v>4</v>
      </c>
      <c r="AS68" s="298">
        <v>12</v>
      </c>
      <c r="AT68" s="300">
        <f t="shared" si="35"/>
        <v>82</v>
      </c>
      <c r="AU68" s="299">
        <f t="shared" si="36"/>
        <v>0.91111111111111109</v>
      </c>
    </row>
    <row r="69" spans="2:47" x14ac:dyDescent="0.2">
      <c r="B69" s="298">
        <v>25</v>
      </c>
      <c r="C69" s="298">
        <v>42000</v>
      </c>
      <c r="D69" s="299">
        <f t="shared" si="3"/>
        <v>0.91388888888888886</v>
      </c>
      <c r="E69" s="298">
        <f t="shared" si="4"/>
        <v>4200</v>
      </c>
      <c r="F69" s="298">
        <v>0</v>
      </c>
      <c r="G69" s="298">
        <v>3</v>
      </c>
      <c r="H69" s="298">
        <v>0</v>
      </c>
      <c r="I69" s="298">
        <v>1</v>
      </c>
      <c r="J69" s="298">
        <v>2</v>
      </c>
      <c r="K69" s="298">
        <v>0</v>
      </c>
      <c r="L69" s="298">
        <v>0.6</v>
      </c>
      <c r="M69" s="298">
        <f t="shared" si="5"/>
        <v>0.4</v>
      </c>
      <c r="N69" s="298">
        <v>0.5</v>
      </c>
      <c r="O69" s="298">
        <f t="shared" si="6"/>
        <v>0.16666666666666666</v>
      </c>
      <c r="P69" s="298">
        <f t="shared" si="7"/>
        <v>0.66666666666666663</v>
      </c>
      <c r="Q69" s="298">
        <f t="shared" si="8"/>
        <v>0.16666666666666666</v>
      </c>
      <c r="R69" s="298">
        <f t="shared" si="9"/>
        <v>0.25</v>
      </c>
      <c r="S69" s="298">
        <f t="shared" si="10"/>
        <v>0.5</v>
      </c>
      <c r="T69" s="298">
        <f t="shared" si="11"/>
        <v>0.25</v>
      </c>
      <c r="U69" s="300">
        <f t="shared" si="12"/>
        <v>210</v>
      </c>
      <c r="V69" s="300">
        <f t="shared" si="13"/>
        <v>840</v>
      </c>
      <c r="W69" s="300">
        <f t="shared" si="14"/>
        <v>210</v>
      </c>
      <c r="X69" s="300">
        <f t="shared" si="15"/>
        <v>210</v>
      </c>
      <c r="Y69" s="300">
        <f t="shared" si="16"/>
        <v>420</v>
      </c>
      <c r="Z69" s="300">
        <f t="shared" si="17"/>
        <v>210</v>
      </c>
      <c r="AA69" s="300">
        <f t="shared" si="18"/>
        <v>5.25</v>
      </c>
      <c r="AB69" s="300">
        <f t="shared" si="19"/>
        <v>21</v>
      </c>
      <c r="AC69" s="300">
        <f t="shared" si="20"/>
        <v>5.25</v>
      </c>
      <c r="AD69" s="300">
        <f t="shared" si="21"/>
        <v>5.25</v>
      </c>
      <c r="AE69" s="300">
        <f t="shared" si="22"/>
        <v>10.5</v>
      </c>
      <c r="AF69" s="300">
        <f t="shared" si="23"/>
        <v>5.25</v>
      </c>
      <c r="AG69" s="300">
        <f t="shared" si="24"/>
        <v>10.5</v>
      </c>
      <c r="AH69" s="300">
        <f t="shared" si="25"/>
        <v>42</v>
      </c>
      <c r="AI69" s="300">
        <f t="shared" si="26"/>
        <v>10.5</v>
      </c>
      <c r="AJ69" s="300">
        <f t="shared" si="27"/>
        <v>10.5</v>
      </c>
      <c r="AK69" s="300">
        <f t="shared" si="28"/>
        <v>21</v>
      </c>
      <c r="AL69" s="300">
        <f t="shared" si="29"/>
        <v>10.5</v>
      </c>
      <c r="AM69" s="300">
        <f t="shared" si="30"/>
        <v>21</v>
      </c>
      <c r="AN69" s="300">
        <f t="shared" si="31"/>
        <v>0</v>
      </c>
      <c r="AO69" s="300">
        <f t="shared" si="32"/>
        <v>15.75</v>
      </c>
      <c r="AP69" s="300">
        <f t="shared" si="33"/>
        <v>10.5</v>
      </c>
      <c r="AQ69" s="300">
        <f>AM69+IF(AN69=0,1*AM69,AN69)+AO69+IF(AP69=0,0.25*AO69,AP69)</f>
        <v>68.25</v>
      </c>
      <c r="AR69" s="298">
        <v>4</v>
      </c>
      <c r="AS69" s="298">
        <v>14</v>
      </c>
      <c r="AT69" s="300">
        <f t="shared" si="35"/>
        <v>82.25</v>
      </c>
      <c r="AU69" s="299">
        <f t="shared" si="36"/>
        <v>0.91388888888888886</v>
      </c>
    </row>
    <row r="70" spans="2:47" x14ac:dyDescent="0.2">
      <c r="B70" s="298">
        <v>26</v>
      </c>
      <c r="C70" s="298">
        <v>46000</v>
      </c>
      <c r="D70" s="299">
        <f t="shared" si="3"/>
        <v>0.92222222222222228</v>
      </c>
      <c r="E70" s="298">
        <f t="shared" si="4"/>
        <v>4600</v>
      </c>
      <c r="F70" s="298">
        <v>0</v>
      </c>
      <c r="G70" s="298">
        <v>3</v>
      </c>
      <c r="H70" s="298">
        <v>0</v>
      </c>
      <c r="I70" s="298">
        <v>1</v>
      </c>
      <c r="J70" s="298">
        <v>2</v>
      </c>
      <c r="K70" s="298">
        <v>1</v>
      </c>
      <c r="L70" s="298">
        <v>0.6</v>
      </c>
      <c r="M70" s="298">
        <f t="shared" si="5"/>
        <v>0.4</v>
      </c>
      <c r="N70" s="298">
        <v>0.5</v>
      </c>
      <c r="O70" s="298">
        <f t="shared" si="6"/>
        <v>0.16666666666666666</v>
      </c>
      <c r="P70" s="298">
        <f t="shared" si="7"/>
        <v>0.66666666666666663</v>
      </c>
      <c r="Q70" s="298">
        <f t="shared" si="8"/>
        <v>0.16666666666666666</v>
      </c>
      <c r="R70" s="298">
        <f t="shared" si="9"/>
        <v>0.25</v>
      </c>
      <c r="S70" s="298">
        <f t="shared" si="10"/>
        <v>0.5</v>
      </c>
      <c r="T70" s="298">
        <f t="shared" si="11"/>
        <v>0.25</v>
      </c>
      <c r="U70" s="300">
        <f t="shared" si="12"/>
        <v>230</v>
      </c>
      <c r="V70" s="300">
        <f t="shared" si="13"/>
        <v>920</v>
      </c>
      <c r="W70" s="300">
        <f t="shared" si="14"/>
        <v>230</v>
      </c>
      <c r="X70" s="300">
        <f t="shared" si="15"/>
        <v>230</v>
      </c>
      <c r="Y70" s="300">
        <f t="shared" si="16"/>
        <v>460</v>
      </c>
      <c r="Z70" s="300">
        <f t="shared" si="17"/>
        <v>230</v>
      </c>
      <c r="AA70" s="300">
        <f t="shared" si="18"/>
        <v>5.75</v>
      </c>
      <c r="AB70" s="300">
        <f t="shared" si="19"/>
        <v>23</v>
      </c>
      <c r="AC70" s="300">
        <f t="shared" si="20"/>
        <v>5.75</v>
      </c>
      <c r="AD70" s="300">
        <f t="shared" si="21"/>
        <v>5.75</v>
      </c>
      <c r="AE70" s="300">
        <f t="shared" si="22"/>
        <v>11.5</v>
      </c>
      <c r="AF70" s="300">
        <f t="shared" si="23"/>
        <v>5.75</v>
      </c>
      <c r="AG70" s="300">
        <f t="shared" si="24"/>
        <v>11.5</v>
      </c>
      <c r="AH70" s="300">
        <f t="shared" si="25"/>
        <v>46</v>
      </c>
      <c r="AI70" s="300">
        <f t="shared" si="26"/>
        <v>11.5</v>
      </c>
      <c r="AJ70" s="300">
        <f t="shared" si="27"/>
        <v>11.5</v>
      </c>
      <c r="AK70" s="300">
        <f t="shared" si="28"/>
        <v>23</v>
      </c>
      <c r="AL70" s="300">
        <f t="shared" si="29"/>
        <v>11.5</v>
      </c>
      <c r="AM70" s="300">
        <f t="shared" si="30"/>
        <v>23</v>
      </c>
      <c r="AN70" s="300">
        <f t="shared" si="31"/>
        <v>0</v>
      </c>
      <c r="AO70" s="300">
        <f t="shared" si="32"/>
        <v>11.5</v>
      </c>
      <c r="AP70" s="300">
        <f t="shared" si="33"/>
        <v>11.5</v>
      </c>
      <c r="AQ70" s="300">
        <f>AM70+IF(AN70=0,1*AM70,AN70)+AO70+IF(AP70=0,0.25*AO70,AP70)</f>
        <v>69</v>
      </c>
      <c r="AR70" s="298">
        <v>4</v>
      </c>
      <c r="AS70" s="298">
        <v>14</v>
      </c>
      <c r="AT70" s="300">
        <f t="shared" si="35"/>
        <v>83</v>
      </c>
      <c r="AU70" s="299">
        <f t="shared" si="36"/>
        <v>0.92222222222222228</v>
      </c>
    </row>
    <row r="71" spans="2:47" x14ac:dyDescent="0.2">
      <c r="B71" s="298">
        <v>27</v>
      </c>
      <c r="C71" s="298">
        <v>38000</v>
      </c>
      <c r="D71" s="299">
        <f t="shared" si="3"/>
        <v>1</v>
      </c>
      <c r="E71" s="298">
        <f t="shared" si="4"/>
        <v>3800</v>
      </c>
      <c r="F71" s="298">
        <v>0</v>
      </c>
      <c r="G71" s="298">
        <v>3</v>
      </c>
      <c r="H71" s="298">
        <v>0</v>
      </c>
      <c r="I71" s="298">
        <v>0</v>
      </c>
      <c r="J71" s="298">
        <v>2</v>
      </c>
      <c r="K71" s="298">
        <v>0</v>
      </c>
      <c r="L71" s="298">
        <v>0.6</v>
      </c>
      <c r="M71" s="298">
        <f t="shared" si="5"/>
        <v>0.4</v>
      </c>
      <c r="N71" s="298">
        <v>0.5</v>
      </c>
      <c r="O71" s="298">
        <f t="shared" si="6"/>
        <v>0.16666666666666666</v>
      </c>
      <c r="P71" s="298">
        <f t="shared" si="7"/>
        <v>0.66666666666666663</v>
      </c>
      <c r="Q71" s="298">
        <f t="shared" si="8"/>
        <v>0.16666666666666666</v>
      </c>
      <c r="R71" s="298">
        <f t="shared" si="9"/>
        <v>0.25</v>
      </c>
      <c r="S71" s="298">
        <f t="shared" si="10"/>
        <v>0.5</v>
      </c>
      <c r="T71" s="298">
        <f t="shared" si="11"/>
        <v>0.25</v>
      </c>
      <c r="U71" s="300">
        <f t="shared" si="12"/>
        <v>190</v>
      </c>
      <c r="V71" s="300">
        <f t="shared" si="13"/>
        <v>760</v>
      </c>
      <c r="W71" s="300">
        <f t="shared" si="14"/>
        <v>190</v>
      </c>
      <c r="X71" s="300">
        <f t="shared" si="15"/>
        <v>190</v>
      </c>
      <c r="Y71" s="300">
        <f t="shared" si="16"/>
        <v>380</v>
      </c>
      <c r="Z71" s="300">
        <f t="shared" si="17"/>
        <v>190</v>
      </c>
      <c r="AA71" s="300">
        <f t="shared" si="18"/>
        <v>4.75</v>
      </c>
      <c r="AB71" s="300">
        <f t="shared" si="19"/>
        <v>19</v>
      </c>
      <c r="AC71" s="300">
        <f t="shared" si="20"/>
        <v>4.75</v>
      </c>
      <c r="AD71" s="300">
        <f t="shared" si="21"/>
        <v>4.75</v>
      </c>
      <c r="AE71" s="300">
        <f t="shared" si="22"/>
        <v>9.5</v>
      </c>
      <c r="AF71" s="300">
        <f t="shared" si="23"/>
        <v>4.75</v>
      </c>
      <c r="AG71" s="300">
        <f t="shared" si="24"/>
        <v>9.5</v>
      </c>
      <c r="AH71" s="300">
        <f t="shared" si="25"/>
        <v>38</v>
      </c>
      <c r="AI71" s="300">
        <f t="shared" si="26"/>
        <v>9.5</v>
      </c>
      <c r="AJ71" s="300">
        <f t="shared" si="27"/>
        <v>9.5</v>
      </c>
      <c r="AK71" s="300">
        <f t="shared" si="28"/>
        <v>19</v>
      </c>
      <c r="AL71" s="300">
        <f t="shared" si="29"/>
        <v>9.5</v>
      </c>
      <c r="AM71" s="300">
        <f t="shared" si="30"/>
        <v>19</v>
      </c>
      <c r="AN71" s="300">
        <f t="shared" si="31"/>
        <v>0</v>
      </c>
      <c r="AO71" s="300">
        <f t="shared" si="32"/>
        <v>19</v>
      </c>
      <c r="AP71" s="300">
        <f t="shared" si="33"/>
        <v>0</v>
      </c>
      <c r="AQ71" s="300">
        <f>AM71+IF(AN71=0,1*AM71,AN71)+AO71+IF(AP71=0,1*AO71,AP71)</f>
        <v>76</v>
      </c>
      <c r="AR71" s="298">
        <v>4</v>
      </c>
      <c r="AS71" s="298">
        <v>14</v>
      </c>
      <c r="AT71" s="300">
        <f t="shared" si="35"/>
        <v>90</v>
      </c>
      <c r="AU71" s="299">
        <f t="shared" si="36"/>
        <v>1</v>
      </c>
    </row>
    <row r="72" spans="2:47" x14ac:dyDescent="0.2">
      <c r="B72" s="298">
        <v>28</v>
      </c>
      <c r="C72" s="298">
        <v>40000</v>
      </c>
      <c r="D72" s="299">
        <f t="shared" si="3"/>
        <v>0.91851851851851862</v>
      </c>
      <c r="E72" s="298">
        <f t="shared" si="4"/>
        <v>4000</v>
      </c>
      <c r="F72" s="298">
        <v>0</v>
      </c>
      <c r="G72" s="298">
        <v>3</v>
      </c>
      <c r="H72" s="298">
        <v>0</v>
      </c>
      <c r="I72" s="298">
        <v>0</v>
      </c>
      <c r="J72" s="298">
        <v>3</v>
      </c>
      <c r="K72" s="298">
        <v>0</v>
      </c>
      <c r="L72" s="298">
        <v>0.6</v>
      </c>
      <c r="M72" s="298">
        <f t="shared" si="5"/>
        <v>0.4</v>
      </c>
      <c r="N72" s="298">
        <v>0.5</v>
      </c>
      <c r="O72" s="298">
        <f t="shared" si="6"/>
        <v>0.16666666666666666</v>
      </c>
      <c r="P72" s="298">
        <f t="shared" si="7"/>
        <v>0.66666666666666663</v>
      </c>
      <c r="Q72" s="298">
        <f t="shared" si="8"/>
        <v>0.16666666666666666</v>
      </c>
      <c r="R72" s="298">
        <f t="shared" si="9"/>
        <v>0.25</v>
      </c>
      <c r="S72" s="298">
        <f t="shared" si="10"/>
        <v>0.5</v>
      </c>
      <c r="T72" s="298">
        <f t="shared" si="11"/>
        <v>0.25</v>
      </c>
      <c r="U72" s="300">
        <f t="shared" si="12"/>
        <v>200</v>
      </c>
      <c r="V72" s="300">
        <f t="shared" si="13"/>
        <v>800</v>
      </c>
      <c r="W72" s="300">
        <f t="shared" si="14"/>
        <v>200</v>
      </c>
      <c r="X72" s="300">
        <f t="shared" si="15"/>
        <v>200</v>
      </c>
      <c r="Y72" s="300">
        <f t="shared" si="16"/>
        <v>400</v>
      </c>
      <c r="Z72" s="300">
        <f t="shared" si="17"/>
        <v>200</v>
      </c>
      <c r="AA72" s="300">
        <f t="shared" si="18"/>
        <v>5</v>
      </c>
      <c r="AB72" s="300">
        <f t="shared" si="19"/>
        <v>20</v>
      </c>
      <c r="AC72" s="300">
        <f t="shared" si="20"/>
        <v>5</v>
      </c>
      <c r="AD72" s="300">
        <f t="shared" si="21"/>
        <v>5</v>
      </c>
      <c r="AE72" s="300">
        <f t="shared" si="22"/>
        <v>10</v>
      </c>
      <c r="AF72" s="300">
        <f t="shared" si="23"/>
        <v>5</v>
      </c>
      <c r="AG72" s="300">
        <f t="shared" si="24"/>
        <v>10</v>
      </c>
      <c r="AH72" s="300">
        <f t="shared" si="25"/>
        <v>40</v>
      </c>
      <c r="AI72" s="300">
        <f t="shared" si="26"/>
        <v>10</v>
      </c>
      <c r="AJ72" s="300">
        <f t="shared" si="27"/>
        <v>10</v>
      </c>
      <c r="AK72" s="300">
        <f t="shared" si="28"/>
        <v>20</v>
      </c>
      <c r="AL72" s="300">
        <f t="shared" si="29"/>
        <v>10</v>
      </c>
      <c r="AM72" s="300">
        <f t="shared" si="30"/>
        <v>20</v>
      </c>
      <c r="AN72" s="300">
        <f t="shared" si="31"/>
        <v>0</v>
      </c>
      <c r="AO72" s="300">
        <f t="shared" si="32"/>
        <v>13.333333333333334</v>
      </c>
      <c r="AP72" s="300">
        <f t="shared" si="33"/>
        <v>0</v>
      </c>
      <c r="AQ72" s="300">
        <f>AM72+IF(AN72=0,1*AM72,AN72)+AO72+IF(AP72=0,1*AO72,AP72)</f>
        <v>66.666666666666671</v>
      </c>
      <c r="AR72" s="298">
        <v>4</v>
      </c>
      <c r="AS72" s="298">
        <v>16</v>
      </c>
      <c r="AT72" s="300">
        <f t="shared" si="35"/>
        <v>82.666666666666671</v>
      </c>
      <c r="AU72" s="299">
        <f t="shared" si="36"/>
        <v>0.91851851851851862</v>
      </c>
    </row>
    <row r="73" spans="2:47" x14ac:dyDescent="0.2">
      <c r="B73" s="298">
        <v>70</v>
      </c>
      <c r="C73" s="298">
        <v>48000</v>
      </c>
      <c r="D73" s="299">
        <f t="shared" si="3"/>
        <v>1.1555555555555554</v>
      </c>
      <c r="E73" s="298">
        <f t="shared" si="4"/>
        <v>4800</v>
      </c>
      <c r="F73" s="298">
        <v>1</v>
      </c>
      <c r="G73" s="298">
        <v>3</v>
      </c>
      <c r="H73" s="298">
        <v>0</v>
      </c>
      <c r="I73" s="298">
        <v>0</v>
      </c>
      <c r="J73" s="298">
        <v>1</v>
      </c>
      <c r="K73" s="298">
        <v>0</v>
      </c>
      <c r="L73" s="298">
        <v>0.6</v>
      </c>
      <c r="M73" s="298">
        <f t="shared" si="5"/>
        <v>0.4</v>
      </c>
      <c r="N73" s="298">
        <v>0.5</v>
      </c>
      <c r="O73" s="298">
        <f t="shared" si="6"/>
        <v>0.16666666666666666</v>
      </c>
      <c r="P73" s="298">
        <f t="shared" si="7"/>
        <v>0.66666666666666663</v>
      </c>
      <c r="Q73" s="298">
        <f t="shared" si="8"/>
        <v>0.16666666666666666</v>
      </c>
      <c r="R73" s="298">
        <f t="shared" si="9"/>
        <v>0.25</v>
      </c>
      <c r="S73" s="298">
        <f t="shared" si="10"/>
        <v>0.5</v>
      </c>
      <c r="T73" s="298">
        <f t="shared" si="11"/>
        <v>0.25</v>
      </c>
      <c r="U73" s="300">
        <f t="shared" si="12"/>
        <v>240</v>
      </c>
      <c r="V73" s="300">
        <f t="shared" si="13"/>
        <v>960</v>
      </c>
      <c r="W73" s="300">
        <f t="shared" si="14"/>
        <v>240</v>
      </c>
      <c r="X73" s="300">
        <f t="shared" si="15"/>
        <v>240</v>
      </c>
      <c r="Y73" s="300">
        <f t="shared" si="16"/>
        <v>480</v>
      </c>
      <c r="Z73" s="300">
        <f t="shared" si="17"/>
        <v>240</v>
      </c>
      <c r="AA73" s="300">
        <f t="shared" si="18"/>
        <v>6</v>
      </c>
      <c r="AB73" s="300">
        <f t="shared" si="19"/>
        <v>24</v>
      </c>
      <c r="AC73" s="300">
        <f t="shared" si="20"/>
        <v>6</v>
      </c>
      <c r="AD73" s="300">
        <f t="shared" si="21"/>
        <v>6</v>
      </c>
      <c r="AE73" s="300">
        <f t="shared" si="22"/>
        <v>12</v>
      </c>
      <c r="AF73" s="300">
        <f t="shared" si="23"/>
        <v>6</v>
      </c>
      <c r="AG73" s="300">
        <f t="shared" si="24"/>
        <v>12</v>
      </c>
      <c r="AH73" s="300">
        <f t="shared" si="25"/>
        <v>48</v>
      </c>
      <c r="AI73" s="300">
        <f t="shared" si="26"/>
        <v>12</v>
      </c>
      <c r="AJ73" s="300">
        <f t="shared" si="27"/>
        <v>12</v>
      </c>
      <c r="AK73" s="300">
        <f t="shared" si="28"/>
        <v>24</v>
      </c>
      <c r="AL73" s="300">
        <f t="shared" si="29"/>
        <v>12</v>
      </c>
      <c r="AM73" s="300">
        <f t="shared" si="30"/>
        <v>20</v>
      </c>
      <c r="AN73" s="300">
        <f t="shared" si="31"/>
        <v>12</v>
      </c>
      <c r="AO73" s="300">
        <f t="shared" si="32"/>
        <v>48</v>
      </c>
      <c r="AP73" s="300">
        <f t="shared" si="33"/>
        <v>0</v>
      </c>
      <c r="AQ73" s="300">
        <f>AM73+IF(AN73=0,0.25*AM73,AN73)+AO73+IF(AP73=0,0.25*AO73,AP73)</f>
        <v>92</v>
      </c>
      <c r="AR73" s="298">
        <v>4</v>
      </c>
      <c r="AS73" s="298">
        <v>12</v>
      </c>
      <c r="AT73" s="300">
        <f t="shared" si="35"/>
        <v>104</v>
      </c>
      <c r="AU73" s="299">
        <f t="shared" si="36"/>
        <v>1.1555555555555554</v>
      </c>
    </row>
    <row r="74" spans="2:47" x14ac:dyDescent="0.2">
      <c r="B74" s="298">
        <v>71</v>
      </c>
      <c r="C74" s="298">
        <v>52000</v>
      </c>
      <c r="D74" s="299">
        <f t="shared" si="3"/>
        <v>1.0962962962962963</v>
      </c>
      <c r="E74" s="298">
        <f t="shared" si="4"/>
        <v>5200</v>
      </c>
      <c r="F74" s="298">
        <v>1</v>
      </c>
      <c r="G74" s="298">
        <v>3</v>
      </c>
      <c r="H74" s="298">
        <v>0</v>
      </c>
      <c r="I74" s="298">
        <v>1</v>
      </c>
      <c r="J74" s="298">
        <v>1</v>
      </c>
      <c r="K74" s="298">
        <v>0</v>
      </c>
      <c r="L74" s="298">
        <v>0.6</v>
      </c>
      <c r="M74" s="298">
        <f t="shared" si="5"/>
        <v>0.4</v>
      </c>
      <c r="N74" s="298">
        <v>0.5</v>
      </c>
      <c r="O74" s="298">
        <f t="shared" si="6"/>
        <v>0.16666666666666666</v>
      </c>
      <c r="P74" s="298">
        <f t="shared" si="7"/>
        <v>0.66666666666666663</v>
      </c>
      <c r="Q74" s="298">
        <f t="shared" si="8"/>
        <v>0.16666666666666666</v>
      </c>
      <c r="R74" s="298">
        <f t="shared" si="9"/>
        <v>0.25</v>
      </c>
      <c r="S74" s="298">
        <f t="shared" si="10"/>
        <v>0.5</v>
      </c>
      <c r="T74" s="298">
        <f t="shared" si="11"/>
        <v>0.25</v>
      </c>
      <c r="U74" s="300">
        <f t="shared" si="12"/>
        <v>260</v>
      </c>
      <c r="V74" s="300">
        <f t="shared" si="13"/>
        <v>1040</v>
      </c>
      <c r="W74" s="300">
        <f t="shared" si="14"/>
        <v>260</v>
      </c>
      <c r="X74" s="300">
        <f t="shared" si="15"/>
        <v>260</v>
      </c>
      <c r="Y74" s="300">
        <f t="shared" si="16"/>
        <v>520</v>
      </c>
      <c r="Z74" s="300">
        <f t="shared" si="17"/>
        <v>260</v>
      </c>
      <c r="AA74" s="300">
        <f t="shared" si="18"/>
        <v>6.5</v>
      </c>
      <c r="AB74" s="300">
        <f t="shared" si="19"/>
        <v>26</v>
      </c>
      <c r="AC74" s="300">
        <f t="shared" si="20"/>
        <v>6.5</v>
      </c>
      <c r="AD74" s="300">
        <f t="shared" si="21"/>
        <v>6.5</v>
      </c>
      <c r="AE74" s="300">
        <f t="shared" si="22"/>
        <v>13</v>
      </c>
      <c r="AF74" s="300">
        <f t="shared" si="23"/>
        <v>6.5</v>
      </c>
      <c r="AG74" s="300">
        <f t="shared" si="24"/>
        <v>13</v>
      </c>
      <c r="AH74" s="300">
        <f t="shared" si="25"/>
        <v>52</v>
      </c>
      <c r="AI74" s="300">
        <f t="shared" si="26"/>
        <v>13</v>
      </c>
      <c r="AJ74" s="300">
        <f t="shared" si="27"/>
        <v>13</v>
      </c>
      <c r="AK74" s="300">
        <f t="shared" si="28"/>
        <v>26</v>
      </c>
      <c r="AL74" s="300">
        <f t="shared" si="29"/>
        <v>13</v>
      </c>
      <c r="AM74" s="300">
        <f t="shared" si="30"/>
        <v>21.666666666666668</v>
      </c>
      <c r="AN74" s="300">
        <f t="shared" si="31"/>
        <v>13</v>
      </c>
      <c r="AO74" s="300">
        <f t="shared" si="32"/>
        <v>39</v>
      </c>
      <c r="AP74" s="300">
        <f t="shared" si="33"/>
        <v>13</v>
      </c>
      <c r="AQ74" s="300">
        <f>AM74+IF(AN74=0,0.25*AM74,AN74)+AO74+IF(AP74=0,0.25*AO74,AP74)</f>
        <v>86.666666666666671</v>
      </c>
      <c r="AR74" s="298">
        <v>4</v>
      </c>
      <c r="AS74" s="298">
        <v>12</v>
      </c>
      <c r="AT74" s="300">
        <f t="shared" si="35"/>
        <v>98.666666666666671</v>
      </c>
      <c r="AU74" s="299">
        <f t="shared" si="36"/>
        <v>1.0962962962962963</v>
      </c>
    </row>
    <row r="75" spans="2:47" x14ac:dyDescent="0.2">
      <c r="B75" s="298">
        <v>72</v>
      </c>
      <c r="C75" s="298">
        <v>56000</v>
      </c>
      <c r="D75" s="299">
        <f t="shared" si="3"/>
        <v>1.0148148148148148</v>
      </c>
      <c r="E75" s="298">
        <f t="shared" si="4"/>
        <v>5600</v>
      </c>
      <c r="F75" s="298">
        <v>1</v>
      </c>
      <c r="G75" s="298">
        <v>3</v>
      </c>
      <c r="H75" s="298">
        <v>0</v>
      </c>
      <c r="I75" s="298">
        <v>1</v>
      </c>
      <c r="J75" s="298">
        <v>1</v>
      </c>
      <c r="K75" s="298">
        <v>1</v>
      </c>
      <c r="L75" s="298">
        <v>0.6</v>
      </c>
      <c r="M75" s="298">
        <f t="shared" si="5"/>
        <v>0.4</v>
      </c>
      <c r="N75" s="298">
        <v>0.5</v>
      </c>
      <c r="O75" s="298">
        <f t="shared" si="6"/>
        <v>0.16666666666666666</v>
      </c>
      <c r="P75" s="298">
        <f t="shared" si="7"/>
        <v>0.66666666666666663</v>
      </c>
      <c r="Q75" s="298">
        <f t="shared" si="8"/>
        <v>0.16666666666666666</v>
      </c>
      <c r="R75" s="298">
        <f t="shared" si="9"/>
        <v>0.25</v>
      </c>
      <c r="S75" s="298">
        <f t="shared" si="10"/>
        <v>0.5</v>
      </c>
      <c r="T75" s="298">
        <f t="shared" si="11"/>
        <v>0.25</v>
      </c>
      <c r="U75" s="300">
        <f t="shared" si="12"/>
        <v>280</v>
      </c>
      <c r="V75" s="300">
        <f t="shared" si="13"/>
        <v>1120</v>
      </c>
      <c r="W75" s="300">
        <f t="shared" si="14"/>
        <v>280</v>
      </c>
      <c r="X75" s="300">
        <f t="shared" si="15"/>
        <v>280</v>
      </c>
      <c r="Y75" s="300">
        <f t="shared" si="16"/>
        <v>560</v>
      </c>
      <c r="Z75" s="300">
        <f t="shared" si="17"/>
        <v>280</v>
      </c>
      <c r="AA75" s="300">
        <f t="shared" si="18"/>
        <v>7</v>
      </c>
      <c r="AB75" s="300">
        <f t="shared" si="19"/>
        <v>28</v>
      </c>
      <c r="AC75" s="300">
        <f t="shared" si="20"/>
        <v>7</v>
      </c>
      <c r="AD75" s="300">
        <f t="shared" si="21"/>
        <v>7</v>
      </c>
      <c r="AE75" s="300">
        <f t="shared" si="22"/>
        <v>14</v>
      </c>
      <c r="AF75" s="300">
        <f t="shared" si="23"/>
        <v>7</v>
      </c>
      <c r="AG75" s="300">
        <f t="shared" si="24"/>
        <v>14</v>
      </c>
      <c r="AH75" s="300">
        <f t="shared" si="25"/>
        <v>56</v>
      </c>
      <c r="AI75" s="300">
        <f t="shared" si="26"/>
        <v>14</v>
      </c>
      <c r="AJ75" s="300">
        <f t="shared" si="27"/>
        <v>14</v>
      </c>
      <c r="AK75" s="300">
        <f t="shared" si="28"/>
        <v>28</v>
      </c>
      <c r="AL75" s="300">
        <f t="shared" si="29"/>
        <v>14</v>
      </c>
      <c r="AM75" s="300">
        <f t="shared" si="30"/>
        <v>23.333333333333332</v>
      </c>
      <c r="AN75" s="300">
        <f t="shared" si="31"/>
        <v>14</v>
      </c>
      <c r="AO75" s="300">
        <f t="shared" si="32"/>
        <v>28</v>
      </c>
      <c r="AP75" s="300">
        <f t="shared" si="33"/>
        <v>14</v>
      </c>
      <c r="AQ75" s="300">
        <f>AM75+IF(AN75=0,0.25*AM75,AN75)+AO75+IF(AP75=0,0.25*AO75,AP75)</f>
        <v>79.333333333333329</v>
      </c>
      <c r="AR75" s="298">
        <v>4</v>
      </c>
      <c r="AS75" s="298">
        <v>12</v>
      </c>
      <c r="AT75" s="300">
        <f t="shared" si="35"/>
        <v>91.333333333333329</v>
      </c>
      <c r="AU75" s="299">
        <f t="shared" si="36"/>
        <v>1.0148148148148148</v>
      </c>
    </row>
    <row r="76" spans="2:47" x14ac:dyDescent="0.2">
      <c r="B76" s="298">
        <v>73</v>
      </c>
      <c r="C76" s="298">
        <v>60000</v>
      </c>
      <c r="D76" s="299">
        <f t="shared" si="3"/>
        <v>1.0166666666666666</v>
      </c>
      <c r="E76" s="298">
        <f t="shared" si="4"/>
        <v>6000</v>
      </c>
      <c r="F76" s="298">
        <v>1</v>
      </c>
      <c r="G76" s="298">
        <v>3</v>
      </c>
      <c r="H76" s="298">
        <v>0</v>
      </c>
      <c r="I76" s="298">
        <v>1</v>
      </c>
      <c r="J76" s="298">
        <v>2</v>
      </c>
      <c r="K76" s="298">
        <v>0</v>
      </c>
      <c r="L76" s="298">
        <v>0.6</v>
      </c>
      <c r="M76" s="298">
        <f t="shared" si="5"/>
        <v>0.4</v>
      </c>
      <c r="N76" s="298">
        <v>0.5</v>
      </c>
      <c r="O76" s="298">
        <f t="shared" si="6"/>
        <v>0.16666666666666666</v>
      </c>
      <c r="P76" s="298">
        <f t="shared" si="7"/>
        <v>0.66666666666666663</v>
      </c>
      <c r="Q76" s="298">
        <f t="shared" si="8"/>
        <v>0.16666666666666666</v>
      </c>
      <c r="R76" s="298">
        <f t="shared" si="9"/>
        <v>0.25</v>
      </c>
      <c r="S76" s="298">
        <f t="shared" si="10"/>
        <v>0.5</v>
      </c>
      <c r="T76" s="298">
        <f t="shared" si="11"/>
        <v>0.25</v>
      </c>
      <c r="U76" s="300">
        <f t="shared" si="12"/>
        <v>300</v>
      </c>
      <c r="V76" s="300">
        <f t="shared" si="13"/>
        <v>1200</v>
      </c>
      <c r="W76" s="300">
        <f t="shared" si="14"/>
        <v>300</v>
      </c>
      <c r="X76" s="300">
        <f t="shared" si="15"/>
        <v>300</v>
      </c>
      <c r="Y76" s="300">
        <f t="shared" si="16"/>
        <v>600</v>
      </c>
      <c r="Z76" s="300">
        <f t="shared" si="17"/>
        <v>300</v>
      </c>
      <c r="AA76" s="300">
        <f t="shared" si="18"/>
        <v>7.5</v>
      </c>
      <c r="AB76" s="300">
        <f t="shared" si="19"/>
        <v>30</v>
      </c>
      <c r="AC76" s="300">
        <f t="shared" si="20"/>
        <v>7.5</v>
      </c>
      <c r="AD76" s="300">
        <f t="shared" si="21"/>
        <v>7.5</v>
      </c>
      <c r="AE76" s="300">
        <f t="shared" si="22"/>
        <v>15</v>
      </c>
      <c r="AF76" s="300">
        <f t="shared" si="23"/>
        <v>7.5</v>
      </c>
      <c r="AG76" s="300">
        <f t="shared" si="24"/>
        <v>15</v>
      </c>
      <c r="AH76" s="300">
        <f t="shared" si="25"/>
        <v>60</v>
      </c>
      <c r="AI76" s="300">
        <f t="shared" si="26"/>
        <v>15</v>
      </c>
      <c r="AJ76" s="300">
        <f t="shared" si="27"/>
        <v>15</v>
      </c>
      <c r="AK76" s="300">
        <f t="shared" si="28"/>
        <v>30</v>
      </c>
      <c r="AL76" s="300">
        <f t="shared" si="29"/>
        <v>15</v>
      </c>
      <c r="AM76" s="300">
        <f t="shared" si="30"/>
        <v>25</v>
      </c>
      <c r="AN76" s="300">
        <f t="shared" si="31"/>
        <v>15</v>
      </c>
      <c r="AO76" s="300">
        <f t="shared" si="32"/>
        <v>22.5</v>
      </c>
      <c r="AP76" s="300">
        <f t="shared" si="33"/>
        <v>15</v>
      </c>
      <c r="AQ76" s="300">
        <f>AM76+IF(AN76=0,0.25*AM76,AN76)+AO76+IF(AP76=0,0.25*AO76,AP76)</f>
        <v>77.5</v>
      </c>
      <c r="AR76" s="298">
        <v>4</v>
      </c>
      <c r="AS76" s="298">
        <v>14</v>
      </c>
      <c r="AT76" s="300">
        <f t="shared" si="35"/>
        <v>91.5</v>
      </c>
      <c r="AU76" s="299">
        <f t="shared" si="36"/>
        <v>1.0166666666666666</v>
      </c>
    </row>
    <row r="77" spans="2:47" x14ac:dyDescent="0.2">
      <c r="B77" s="298">
        <v>74</v>
      </c>
      <c r="C77" s="298">
        <v>64000</v>
      </c>
      <c r="D77" s="299">
        <f t="shared" si="3"/>
        <v>0.98518518518518527</v>
      </c>
      <c r="E77" s="298">
        <f t="shared" si="4"/>
        <v>6400</v>
      </c>
      <c r="F77" s="298">
        <v>1</v>
      </c>
      <c r="G77" s="298">
        <v>3</v>
      </c>
      <c r="H77" s="298">
        <v>0</v>
      </c>
      <c r="I77" s="298">
        <v>1</v>
      </c>
      <c r="J77" s="298">
        <v>2</v>
      </c>
      <c r="K77" s="298">
        <v>1</v>
      </c>
      <c r="L77" s="298">
        <v>0.6</v>
      </c>
      <c r="M77" s="298">
        <f t="shared" si="5"/>
        <v>0.4</v>
      </c>
      <c r="N77" s="298">
        <v>0.5</v>
      </c>
      <c r="O77" s="298">
        <f t="shared" si="6"/>
        <v>0.16666666666666666</v>
      </c>
      <c r="P77" s="298">
        <f t="shared" si="7"/>
        <v>0.66666666666666663</v>
      </c>
      <c r="Q77" s="298">
        <f t="shared" si="8"/>
        <v>0.16666666666666666</v>
      </c>
      <c r="R77" s="298">
        <f t="shared" si="9"/>
        <v>0.25</v>
      </c>
      <c r="S77" s="298">
        <f t="shared" si="10"/>
        <v>0.5</v>
      </c>
      <c r="T77" s="298">
        <f t="shared" si="11"/>
        <v>0.25</v>
      </c>
      <c r="U77" s="300">
        <f t="shared" si="12"/>
        <v>320</v>
      </c>
      <c r="V77" s="300">
        <f t="shared" si="13"/>
        <v>1280</v>
      </c>
      <c r="W77" s="300">
        <f t="shared" si="14"/>
        <v>320</v>
      </c>
      <c r="X77" s="300">
        <f t="shared" si="15"/>
        <v>320</v>
      </c>
      <c r="Y77" s="300">
        <f t="shared" si="16"/>
        <v>640</v>
      </c>
      <c r="Z77" s="300">
        <f t="shared" si="17"/>
        <v>320</v>
      </c>
      <c r="AA77" s="300">
        <f t="shared" si="18"/>
        <v>8</v>
      </c>
      <c r="AB77" s="300">
        <f t="shared" si="19"/>
        <v>32</v>
      </c>
      <c r="AC77" s="300">
        <f t="shared" si="20"/>
        <v>8</v>
      </c>
      <c r="AD77" s="300">
        <f t="shared" si="21"/>
        <v>8</v>
      </c>
      <c r="AE77" s="300">
        <f t="shared" si="22"/>
        <v>16</v>
      </c>
      <c r="AF77" s="300">
        <f t="shared" si="23"/>
        <v>8</v>
      </c>
      <c r="AG77" s="300">
        <f t="shared" si="24"/>
        <v>16</v>
      </c>
      <c r="AH77" s="300">
        <f t="shared" si="25"/>
        <v>64</v>
      </c>
      <c r="AI77" s="300">
        <f t="shared" si="26"/>
        <v>16</v>
      </c>
      <c r="AJ77" s="300">
        <f t="shared" si="27"/>
        <v>16</v>
      </c>
      <c r="AK77" s="300">
        <f t="shared" si="28"/>
        <v>32</v>
      </c>
      <c r="AL77" s="300">
        <f t="shared" si="29"/>
        <v>16</v>
      </c>
      <c r="AM77" s="300">
        <f t="shared" si="30"/>
        <v>26.666666666666668</v>
      </c>
      <c r="AN77" s="300">
        <f t="shared" si="31"/>
        <v>16</v>
      </c>
      <c r="AO77" s="300">
        <f t="shared" si="32"/>
        <v>16</v>
      </c>
      <c r="AP77" s="300">
        <f t="shared" si="33"/>
        <v>16</v>
      </c>
      <c r="AQ77" s="300">
        <f>AM77+IF(AN77=0,0.25*AM77,AN77)+AO77+IF(AP77=0,0.25*AO77,AP77)</f>
        <v>74.666666666666671</v>
      </c>
      <c r="AR77" s="298">
        <v>4</v>
      </c>
      <c r="AS77" s="298">
        <v>14</v>
      </c>
      <c r="AT77" s="300">
        <f t="shared" si="35"/>
        <v>88.666666666666671</v>
      </c>
      <c r="AU77" s="299">
        <f t="shared" si="36"/>
        <v>0.98518518518518527</v>
      </c>
    </row>
    <row r="78" spans="2:47" x14ac:dyDescent="0.2">
      <c r="B78" s="298">
        <v>75</v>
      </c>
      <c r="C78" s="298">
        <v>50000</v>
      </c>
      <c r="D78" s="299">
        <f t="shared" si="3"/>
        <v>1.0814814814814815</v>
      </c>
      <c r="E78" s="298">
        <f t="shared" si="4"/>
        <v>5000</v>
      </c>
      <c r="F78" s="298">
        <v>1</v>
      </c>
      <c r="G78" s="298">
        <v>3</v>
      </c>
      <c r="H78" s="298">
        <v>0</v>
      </c>
      <c r="I78" s="298">
        <v>0</v>
      </c>
      <c r="J78" s="298">
        <v>2</v>
      </c>
      <c r="K78" s="298">
        <v>0</v>
      </c>
      <c r="L78" s="298">
        <v>0.6</v>
      </c>
      <c r="M78" s="298">
        <f t="shared" si="5"/>
        <v>0.4</v>
      </c>
      <c r="N78" s="298">
        <v>0.5</v>
      </c>
      <c r="O78" s="298">
        <f t="shared" si="6"/>
        <v>0.16666666666666666</v>
      </c>
      <c r="P78" s="298">
        <f t="shared" si="7"/>
        <v>0.66666666666666663</v>
      </c>
      <c r="Q78" s="298">
        <f t="shared" si="8"/>
        <v>0.16666666666666666</v>
      </c>
      <c r="R78" s="298">
        <f t="shared" si="9"/>
        <v>0.25</v>
      </c>
      <c r="S78" s="298">
        <f t="shared" si="10"/>
        <v>0.5</v>
      </c>
      <c r="T78" s="298">
        <f t="shared" si="11"/>
        <v>0.25</v>
      </c>
      <c r="U78" s="300">
        <f t="shared" si="12"/>
        <v>250</v>
      </c>
      <c r="V78" s="300">
        <f t="shared" si="13"/>
        <v>1000</v>
      </c>
      <c r="W78" s="300">
        <f t="shared" si="14"/>
        <v>250</v>
      </c>
      <c r="X78" s="300">
        <f t="shared" si="15"/>
        <v>250</v>
      </c>
      <c r="Y78" s="300">
        <f t="shared" si="16"/>
        <v>500</v>
      </c>
      <c r="Z78" s="300">
        <f t="shared" si="17"/>
        <v>250</v>
      </c>
      <c r="AA78" s="300">
        <f t="shared" si="18"/>
        <v>6.25</v>
      </c>
      <c r="AB78" s="300">
        <f t="shared" si="19"/>
        <v>25</v>
      </c>
      <c r="AC78" s="300">
        <f t="shared" si="20"/>
        <v>6.25</v>
      </c>
      <c r="AD78" s="300">
        <f t="shared" si="21"/>
        <v>6.25</v>
      </c>
      <c r="AE78" s="300">
        <f t="shared" si="22"/>
        <v>12.5</v>
      </c>
      <c r="AF78" s="300">
        <f t="shared" si="23"/>
        <v>6.25</v>
      </c>
      <c r="AG78" s="300">
        <f t="shared" si="24"/>
        <v>12.5</v>
      </c>
      <c r="AH78" s="300">
        <f t="shared" si="25"/>
        <v>50</v>
      </c>
      <c r="AI78" s="300">
        <f t="shared" si="26"/>
        <v>12.5</v>
      </c>
      <c r="AJ78" s="300">
        <f t="shared" si="27"/>
        <v>12.5</v>
      </c>
      <c r="AK78" s="300">
        <f t="shared" si="28"/>
        <v>25</v>
      </c>
      <c r="AL78" s="300">
        <f t="shared" si="29"/>
        <v>12.5</v>
      </c>
      <c r="AM78" s="300">
        <f t="shared" si="30"/>
        <v>20.833333333333332</v>
      </c>
      <c r="AN78" s="300">
        <f t="shared" si="31"/>
        <v>12.5</v>
      </c>
      <c r="AO78" s="300">
        <f t="shared" si="32"/>
        <v>25</v>
      </c>
      <c r="AP78" s="300">
        <f t="shared" si="33"/>
        <v>0</v>
      </c>
      <c r="AQ78" s="300">
        <f>AM78+IF(AN78=0,0.25*AM78,AN78)+AO78+IF(AP78=0,1*AO78,AP78)</f>
        <v>83.333333333333329</v>
      </c>
      <c r="AR78" s="298">
        <v>4</v>
      </c>
      <c r="AS78" s="298">
        <v>14</v>
      </c>
      <c r="AT78" s="300">
        <f t="shared" si="35"/>
        <v>97.333333333333329</v>
      </c>
      <c r="AU78" s="299">
        <f t="shared" si="36"/>
        <v>1.0814814814814815</v>
      </c>
    </row>
    <row r="79" spans="2:47" x14ac:dyDescent="0.2">
      <c r="B79" s="298">
        <v>76</v>
      </c>
      <c r="C79" s="298">
        <v>54000</v>
      </c>
      <c r="D79" s="299">
        <f t="shared" si="3"/>
        <v>0.97777777777777775</v>
      </c>
      <c r="E79" s="298">
        <f t="shared" si="4"/>
        <v>5400</v>
      </c>
      <c r="F79" s="298">
        <v>1</v>
      </c>
      <c r="G79" s="298">
        <v>3</v>
      </c>
      <c r="H79" s="298">
        <v>0</v>
      </c>
      <c r="I79" s="298">
        <v>0</v>
      </c>
      <c r="J79" s="298">
        <v>3</v>
      </c>
      <c r="K79" s="298">
        <v>0</v>
      </c>
      <c r="L79" s="298">
        <v>0.6</v>
      </c>
      <c r="M79" s="298">
        <f t="shared" si="5"/>
        <v>0.4</v>
      </c>
      <c r="N79" s="298">
        <v>0.5</v>
      </c>
      <c r="O79" s="298">
        <f t="shared" si="6"/>
        <v>0.16666666666666666</v>
      </c>
      <c r="P79" s="298">
        <f t="shared" si="7"/>
        <v>0.66666666666666663</v>
      </c>
      <c r="Q79" s="298">
        <f t="shared" si="8"/>
        <v>0.16666666666666666</v>
      </c>
      <c r="R79" s="298">
        <f t="shared" si="9"/>
        <v>0.25</v>
      </c>
      <c r="S79" s="298">
        <f t="shared" si="10"/>
        <v>0.5</v>
      </c>
      <c r="T79" s="298">
        <f t="shared" si="11"/>
        <v>0.25</v>
      </c>
      <c r="U79" s="300">
        <f t="shared" si="12"/>
        <v>270</v>
      </c>
      <c r="V79" s="300">
        <f t="shared" si="13"/>
        <v>1080</v>
      </c>
      <c r="W79" s="300">
        <f t="shared" si="14"/>
        <v>270</v>
      </c>
      <c r="X79" s="300">
        <f t="shared" si="15"/>
        <v>270</v>
      </c>
      <c r="Y79" s="300">
        <f t="shared" si="16"/>
        <v>540</v>
      </c>
      <c r="Z79" s="300">
        <f t="shared" si="17"/>
        <v>270</v>
      </c>
      <c r="AA79" s="300">
        <f t="shared" si="18"/>
        <v>6.75</v>
      </c>
      <c r="AB79" s="300">
        <f t="shared" si="19"/>
        <v>27</v>
      </c>
      <c r="AC79" s="300">
        <f t="shared" si="20"/>
        <v>6.75</v>
      </c>
      <c r="AD79" s="300">
        <f t="shared" si="21"/>
        <v>6.75</v>
      </c>
      <c r="AE79" s="300">
        <f t="shared" si="22"/>
        <v>13.5</v>
      </c>
      <c r="AF79" s="300">
        <f t="shared" si="23"/>
        <v>6.75</v>
      </c>
      <c r="AG79" s="300">
        <f t="shared" si="24"/>
        <v>13.5</v>
      </c>
      <c r="AH79" s="300">
        <f t="shared" si="25"/>
        <v>54</v>
      </c>
      <c r="AI79" s="300">
        <f t="shared" si="26"/>
        <v>13.5</v>
      </c>
      <c r="AJ79" s="300">
        <f t="shared" si="27"/>
        <v>13.5</v>
      </c>
      <c r="AK79" s="300">
        <f t="shared" si="28"/>
        <v>27</v>
      </c>
      <c r="AL79" s="300">
        <f t="shared" si="29"/>
        <v>13.5</v>
      </c>
      <c r="AM79" s="300">
        <f t="shared" si="30"/>
        <v>22.5</v>
      </c>
      <c r="AN79" s="300">
        <f t="shared" si="31"/>
        <v>13.5</v>
      </c>
      <c r="AO79" s="300">
        <f t="shared" si="32"/>
        <v>18</v>
      </c>
      <c r="AP79" s="300">
        <f t="shared" si="33"/>
        <v>0</v>
      </c>
      <c r="AQ79" s="300">
        <f>AM79+IF(AN79=0,0.25*AM79,AN79)+AO79+IF(AP79=0,1*AO79,AP79)</f>
        <v>72</v>
      </c>
      <c r="AR79" s="298">
        <v>4</v>
      </c>
      <c r="AS79" s="298">
        <v>16</v>
      </c>
      <c r="AT79" s="300">
        <f t="shared" si="35"/>
        <v>88</v>
      </c>
      <c r="AU79" s="299">
        <f t="shared" si="36"/>
        <v>0.97777777777777775</v>
      </c>
    </row>
    <row r="80" spans="2:47" x14ac:dyDescent="0.2">
      <c r="B80" s="298">
        <v>77</v>
      </c>
      <c r="C80" s="298">
        <v>66000</v>
      </c>
      <c r="D80" s="299">
        <f t="shared" si="3"/>
        <v>1.0333333333333334</v>
      </c>
      <c r="E80" s="298">
        <f t="shared" si="4"/>
        <v>6600</v>
      </c>
      <c r="F80" s="298">
        <v>1</v>
      </c>
      <c r="G80" s="298">
        <v>3</v>
      </c>
      <c r="H80" s="298">
        <v>0</v>
      </c>
      <c r="I80" s="298">
        <v>1</v>
      </c>
      <c r="J80" s="298">
        <v>3</v>
      </c>
      <c r="K80" s="298">
        <v>0</v>
      </c>
      <c r="L80" s="298">
        <v>0.6</v>
      </c>
      <c r="M80" s="298">
        <f t="shared" si="5"/>
        <v>0.4</v>
      </c>
      <c r="N80" s="298">
        <v>0.5</v>
      </c>
      <c r="O80" s="298">
        <f t="shared" si="6"/>
        <v>0.16666666666666666</v>
      </c>
      <c r="P80" s="298">
        <f t="shared" si="7"/>
        <v>0.66666666666666663</v>
      </c>
      <c r="Q80" s="298">
        <f t="shared" si="8"/>
        <v>0.16666666666666666</v>
      </c>
      <c r="R80" s="298">
        <f t="shared" si="9"/>
        <v>0.25</v>
      </c>
      <c r="S80" s="298">
        <f t="shared" si="10"/>
        <v>0.5</v>
      </c>
      <c r="T80" s="298">
        <f t="shared" si="11"/>
        <v>0.25</v>
      </c>
      <c r="U80" s="300">
        <f t="shared" si="12"/>
        <v>330</v>
      </c>
      <c r="V80" s="300">
        <f t="shared" si="13"/>
        <v>1320</v>
      </c>
      <c r="W80" s="300">
        <f t="shared" si="14"/>
        <v>330</v>
      </c>
      <c r="X80" s="300">
        <f t="shared" si="15"/>
        <v>330</v>
      </c>
      <c r="Y80" s="300">
        <f t="shared" si="16"/>
        <v>660</v>
      </c>
      <c r="Z80" s="300">
        <f t="shared" si="17"/>
        <v>330</v>
      </c>
      <c r="AA80" s="300">
        <f t="shared" si="18"/>
        <v>8.25</v>
      </c>
      <c r="AB80" s="300">
        <f t="shared" si="19"/>
        <v>33</v>
      </c>
      <c r="AC80" s="300">
        <f t="shared" si="20"/>
        <v>8.25</v>
      </c>
      <c r="AD80" s="300">
        <f t="shared" si="21"/>
        <v>8.25</v>
      </c>
      <c r="AE80" s="300">
        <f t="shared" si="22"/>
        <v>16.5</v>
      </c>
      <c r="AF80" s="300">
        <f t="shared" si="23"/>
        <v>8.25</v>
      </c>
      <c r="AG80" s="300">
        <f t="shared" si="24"/>
        <v>16.5</v>
      </c>
      <c r="AH80" s="300">
        <f t="shared" si="25"/>
        <v>66</v>
      </c>
      <c r="AI80" s="300">
        <f t="shared" si="26"/>
        <v>16.5</v>
      </c>
      <c r="AJ80" s="300">
        <f t="shared" si="27"/>
        <v>16.5</v>
      </c>
      <c r="AK80" s="300">
        <f t="shared" si="28"/>
        <v>33</v>
      </c>
      <c r="AL80" s="300">
        <f t="shared" si="29"/>
        <v>16.5</v>
      </c>
      <c r="AM80" s="300">
        <f t="shared" si="30"/>
        <v>27.5</v>
      </c>
      <c r="AN80" s="300">
        <f t="shared" si="31"/>
        <v>16.5</v>
      </c>
      <c r="AO80" s="300">
        <f t="shared" si="32"/>
        <v>16.5</v>
      </c>
      <c r="AP80" s="300">
        <f t="shared" si="33"/>
        <v>16.5</v>
      </c>
      <c r="AQ80" s="300">
        <f t="shared" ref="AQ80:AQ85" si="37">AM80+IF(AN80=0,0.25*AM80,AN80)+AO80+IF(AP80=0,0.25*AO80,AP80)</f>
        <v>77</v>
      </c>
      <c r="AR80" s="298">
        <v>4</v>
      </c>
      <c r="AS80" s="298">
        <v>16</v>
      </c>
      <c r="AT80" s="300">
        <f t="shared" si="35"/>
        <v>93</v>
      </c>
      <c r="AU80" s="299">
        <f t="shared" si="36"/>
        <v>1.0333333333333334</v>
      </c>
    </row>
    <row r="81" spans="2:47" x14ac:dyDescent="0.2">
      <c r="B81" s="298">
        <v>78</v>
      </c>
      <c r="C81" s="298">
        <v>50000</v>
      </c>
      <c r="D81" s="299">
        <f t="shared" si="3"/>
        <v>1.1518518518518519</v>
      </c>
      <c r="E81" s="298">
        <f t="shared" si="4"/>
        <v>5000</v>
      </c>
      <c r="F81" s="298">
        <v>1</v>
      </c>
      <c r="G81" s="298">
        <v>3</v>
      </c>
      <c r="H81" s="298">
        <v>1</v>
      </c>
      <c r="I81" s="298">
        <v>0</v>
      </c>
      <c r="J81" s="298">
        <v>1</v>
      </c>
      <c r="K81" s="298">
        <v>0</v>
      </c>
      <c r="L81" s="298">
        <v>0.6</v>
      </c>
      <c r="M81" s="298">
        <f t="shared" si="5"/>
        <v>0.4</v>
      </c>
      <c r="N81" s="298">
        <v>0.5</v>
      </c>
      <c r="O81" s="298">
        <f t="shared" si="6"/>
        <v>0.16666666666666666</v>
      </c>
      <c r="P81" s="298">
        <f t="shared" si="7"/>
        <v>0.66666666666666663</v>
      </c>
      <c r="Q81" s="298">
        <f t="shared" si="8"/>
        <v>0.16666666666666666</v>
      </c>
      <c r="R81" s="298">
        <f t="shared" si="9"/>
        <v>0.25</v>
      </c>
      <c r="S81" s="298">
        <f t="shared" si="10"/>
        <v>0.5</v>
      </c>
      <c r="T81" s="298">
        <f t="shared" si="11"/>
        <v>0.25</v>
      </c>
      <c r="U81" s="300">
        <f t="shared" si="12"/>
        <v>250</v>
      </c>
      <c r="V81" s="300">
        <f t="shared" si="13"/>
        <v>1000</v>
      </c>
      <c r="W81" s="300">
        <f t="shared" si="14"/>
        <v>250</v>
      </c>
      <c r="X81" s="300">
        <f t="shared" si="15"/>
        <v>250</v>
      </c>
      <c r="Y81" s="300">
        <f t="shared" si="16"/>
        <v>500</v>
      </c>
      <c r="Z81" s="300">
        <f t="shared" si="17"/>
        <v>250</v>
      </c>
      <c r="AA81" s="300">
        <f t="shared" si="18"/>
        <v>6.25</v>
      </c>
      <c r="AB81" s="300">
        <f t="shared" si="19"/>
        <v>25</v>
      </c>
      <c r="AC81" s="300">
        <f t="shared" si="20"/>
        <v>6.25</v>
      </c>
      <c r="AD81" s="300">
        <f t="shared" si="21"/>
        <v>6.25</v>
      </c>
      <c r="AE81" s="300">
        <f t="shared" si="22"/>
        <v>12.5</v>
      </c>
      <c r="AF81" s="300">
        <f t="shared" si="23"/>
        <v>6.25</v>
      </c>
      <c r="AG81" s="300">
        <f t="shared" si="24"/>
        <v>12.5</v>
      </c>
      <c r="AH81" s="300">
        <f t="shared" si="25"/>
        <v>50</v>
      </c>
      <c r="AI81" s="300">
        <f t="shared" si="26"/>
        <v>12.5</v>
      </c>
      <c r="AJ81" s="300">
        <f t="shared" si="27"/>
        <v>12.5</v>
      </c>
      <c r="AK81" s="300">
        <f t="shared" si="28"/>
        <v>25</v>
      </c>
      <c r="AL81" s="300">
        <f t="shared" si="29"/>
        <v>12.5</v>
      </c>
      <c r="AM81" s="300">
        <f t="shared" si="30"/>
        <v>16.666666666666668</v>
      </c>
      <c r="AN81" s="300">
        <f t="shared" si="31"/>
        <v>12.5</v>
      </c>
      <c r="AO81" s="300">
        <f t="shared" si="32"/>
        <v>50</v>
      </c>
      <c r="AP81" s="300">
        <f t="shared" si="33"/>
        <v>0</v>
      </c>
      <c r="AQ81" s="300">
        <f t="shared" si="37"/>
        <v>91.666666666666671</v>
      </c>
      <c r="AR81" s="298">
        <v>4</v>
      </c>
      <c r="AS81" s="298">
        <v>12</v>
      </c>
      <c r="AT81" s="300">
        <f t="shared" si="35"/>
        <v>103.66666666666667</v>
      </c>
      <c r="AU81" s="299">
        <f t="shared" si="36"/>
        <v>1.1518518518518519</v>
      </c>
    </row>
    <row r="82" spans="2:47" x14ac:dyDescent="0.2">
      <c r="B82" s="298">
        <v>79</v>
      </c>
      <c r="C82" s="298">
        <v>54000</v>
      </c>
      <c r="D82" s="299">
        <f t="shared" si="3"/>
        <v>1.0833333333333333</v>
      </c>
      <c r="E82" s="298">
        <f t="shared" si="4"/>
        <v>5400</v>
      </c>
      <c r="F82" s="298">
        <v>1</v>
      </c>
      <c r="G82" s="298">
        <v>3</v>
      </c>
      <c r="H82" s="298">
        <v>1</v>
      </c>
      <c r="I82" s="298">
        <v>1</v>
      </c>
      <c r="J82" s="298">
        <v>1</v>
      </c>
      <c r="K82" s="298">
        <v>0</v>
      </c>
      <c r="L82" s="298">
        <v>0.6</v>
      </c>
      <c r="M82" s="298">
        <f t="shared" si="5"/>
        <v>0.4</v>
      </c>
      <c r="N82" s="298">
        <v>0.5</v>
      </c>
      <c r="O82" s="298">
        <f t="shared" si="6"/>
        <v>0.16666666666666666</v>
      </c>
      <c r="P82" s="298">
        <f t="shared" si="7"/>
        <v>0.66666666666666663</v>
      </c>
      <c r="Q82" s="298">
        <f t="shared" si="8"/>
        <v>0.16666666666666666</v>
      </c>
      <c r="R82" s="298">
        <f t="shared" si="9"/>
        <v>0.25</v>
      </c>
      <c r="S82" s="298">
        <f t="shared" si="10"/>
        <v>0.5</v>
      </c>
      <c r="T82" s="298">
        <f t="shared" si="11"/>
        <v>0.25</v>
      </c>
      <c r="U82" s="300">
        <f t="shared" si="12"/>
        <v>270</v>
      </c>
      <c r="V82" s="300">
        <f t="shared" si="13"/>
        <v>1080</v>
      </c>
      <c r="W82" s="300">
        <f t="shared" si="14"/>
        <v>270</v>
      </c>
      <c r="X82" s="300">
        <f t="shared" si="15"/>
        <v>270</v>
      </c>
      <c r="Y82" s="300">
        <f t="shared" si="16"/>
        <v>540</v>
      </c>
      <c r="Z82" s="300">
        <f t="shared" si="17"/>
        <v>270</v>
      </c>
      <c r="AA82" s="300">
        <f t="shared" si="18"/>
        <v>6.75</v>
      </c>
      <c r="AB82" s="300">
        <f t="shared" si="19"/>
        <v>27</v>
      </c>
      <c r="AC82" s="300">
        <f t="shared" si="20"/>
        <v>6.75</v>
      </c>
      <c r="AD82" s="300">
        <f t="shared" si="21"/>
        <v>6.75</v>
      </c>
      <c r="AE82" s="300">
        <f t="shared" si="22"/>
        <v>13.5</v>
      </c>
      <c r="AF82" s="300">
        <f t="shared" si="23"/>
        <v>6.75</v>
      </c>
      <c r="AG82" s="300">
        <f t="shared" si="24"/>
        <v>13.5</v>
      </c>
      <c r="AH82" s="300">
        <f t="shared" si="25"/>
        <v>54</v>
      </c>
      <c r="AI82" s="300">
        <f t="shared" si="26"/>
        <v>13.5</v>
      </c>
      <c r="AJ82" s="300">
        <f t="shared" si="27"/>
        <v>13.5</v>
      </c>
      <c r="AK82" s="300">
        <f t="shared" si="28"/>
        <v>27</v>
      </c>
      <c r="AL82" s="300">
        <f t="shared" si="29"/>
        <v>13.5</v>
      </c>
      <c r="AM82" s="300">
        <f t="shared" si="30"/>
        <v>18</v>
      </c>
      <c r="AN82" s="300">
        <f t="shared" si="31"/>
        <v>13.5</v>
      </c>
      <c r="AO82" s="300">
        <f t="shared" si="32"/>
        <v>40.5</v>
      </c>
      <c r="AP82" s="300">
        <f t="shared" si="33"/>
        <v>13.5</v>
      </c>
      <c r="AQ82" s="300">
        <f t="shared" si="37"/>
        <v>85.5</v>
      </c>
      <c r="AR82" s="298">
        <v>4</v>
      </c>
      <c r="AS82" s="298">
        <v>12</v>
      </c>
      <c r="AT82" s="300">
        <f t="shared" si="35"/>
        <v>97.5</v>
      </c>
      <c r="AU82" s="299">
        <f t="shared" si="36"/>
        <v>1.0833333333333333</v>
      </c>
    </row>
    <row r="83" spans="2:47" x14ac:dyDescent="0.2">
      <c r="B83" s="298">
        <v>80</v>
      </c>
      <c r="C83" s="298">
        <v>58000</v>
      </c>
      <c r="D83" s="299">
        <f t="shared" si="3"/>
        <v>0.99259259259259258</v>
      </c>
      <c r="E83" s="298">
        <f t="shared" si="4"/>
        <v>5800</v>
      </c>
      <c r="F83" s="298">
        <v>1</v>
      </c>
      <c r="G83" s="298">
        <v>3</v>
      </c>
      <c r="H83" s="298">
        <v>1</v>
      </c>
      <c r="I83" s="298">
        <v>1</v>
      </c>
      <c r="J83" s="298">
        <v>1</v>
      </c>
      <c r="K83" s="298">
        <v>1</v>
      </c>
      <c r="L83" s="298">
        <v>0.6</v>
      </c>
      <c r="M83" s="298">
        <f t="shared" si="5"/>
        <v>0.4</v>
      </c>
      <c r="N83" s="298">
        <v>0.5</v>
      </c>
      <c r="O83" s="298">
        <f t="shared" si="6"/>
        <v>0.16666666666666666</v>
      </c>
      <c r="P83" s="298">
        <f t="shared" si="7"/>
        <v>0.66666666666666663</v>
      </c>
      <c r="Q83" s="298">
        <f t="shared" si="8"/>
        <v>0.16666666666666666</v>
      </c>
      <c r="R83" s="298">
        <f t="shared" si="9"/>
        <v>0.25</v>
      </c>
      <c r="S83" s="298">
        <f t="shared" si="10"/>
        <v>0.5</v>
      </c>
      <c r="T83" s="298">
        <f t="shared" si="11"/>
        <v>0.25</v>
      </c>
      <c r="U83" s="300">
        <f t="shared" si="12"/>
        <v>290</v>
      </c>
      <c r="V83" s="300">
        <f t="shared" si="13"/>
        <v>1160</v>
      </c>
      <c r="W83" s="300">
        <f t="shared" si="14"/>
        <v>290</v>
      </c>
      <c r="X83" s="300">
        <f t="shared" si="15"/>
        <v>290</v>
      </c>
      <c r="Y83" s="300">
        <f t="shared" si="16"/>
        <v>580</v>
      </c>
      <c r="Z83" s="300">
        <f t="shared" si="17"/>
        <v>290</v>
      </c>
      <c r="AA83" s="300">
        <f t="shared" si="18"/>
        <v>7.25</v>
      </c>
      <c r="AB83" s="300">
        <f t="shared" si="19"/>
        <v>29</v>
      </c>
      <c r="AC83" s="300">
        <f t="shared" si="20"/>
        <v>7.25</v>
      </c>
      <c r="AD83" s="300">
        <f t="shared" si="21"/>
        <v>7.25</v>
      </c>
      <c r="AE83" s="300">
        <f t="shared" si="22"/>
        <v>14.5</v>
      </c>
      <c r="AF83" s="300">
        <f t="shared" si="23"/>
        <v>7.25</v>
      </c>
      <c r="AG83" s="300">
        <f t="shared" si="24"/>
        <v>14.5</v>
      </c>
      <c r="AH83" s="300">
        <f t="shared" si="25"/>
        <v>58</v>
      </c>
      <c r="AI83" s="300">
        <f t="shared" si="26"/>
        <v>14.5</v>
      </c>
      <c r="AJ83" s="300">
        <f t="shared" si="27"/>
        <v>14.5</v>
      </c>
      <c r="AK83" s="300">
        <f t="shared" si="28"/>
        <v>29</v>
      </c>
      <c r="AL83" s="300">
        <f t="shared" si="29"/>
        <v>14.5</v>
      </c>
      <c r="AM83" s="300">
        <f t="shared" si="30"/>
        <v>19.333333333333332</v>
      </c>
      <c r="AN83" s="300">
        <f t="shared" si="31"/>
        <v>14.5</v>
      </c>
      <c r="AO83" s="300">
        <f t="shared" si="32"/>
        <v>29</v>
      </c>
      <c r="AP83" s="300">
        <f t="shared" si="33"/>
        <v>14.5</v>
      </c>
      <c r="AQ83" s="300">
        <f t="shared" si="37"/>
        <v>77.333333333333329</v>
      </c>
      <c r="AR83" s="298">
        <v>4</v>
      </c>
      <c r="AS83" s="298">
        <v>12</v>
      </c>
      <c r="AT83" s="300">
        <f t="shared" si="35"/>
        <v>89.333333333333329</v>
      </c>
      <c r="AU83" s="299">
        <f t="shared" si="36"/>
        <v>0.99259259259259258</v>
      </c>
    </row>
    <row r="84" spans="2:47" x14ac:dyDescent="0.2">
      <c r="B84" s="298">
        <v>81</v>
      </c>
      <c r="C84" s="298">
        <v>62000</v>
      </c>
      <c r="D84" s="299">
        <f t="shared" si="3"/>
        <v>0.98796296296296304</v>
      </c>
      <c r="E84" s="298">
        <f t="shared" si="4"/>
        <v>6200</v>
      </c>
      <c r="F84" s="298">
        <v>1</v>
      </c>
      <c r="G84" s="298">
        <v>3</v>
      </c>
      <c r="H84" s="298">
        <v>1</v>
      </c>
      <c r="I84" s="298">
        <v>1</v>
      </c>
      <c r="J84" s="298">
        <v>2</v>
      </c>
      <c r="K84" s="298">
        <v>0</v>
      </c>
      <c r="L84" s="298">
        <v>0.6</v>
      </c>
      <c r="M84" s="298">
        <f t="shared" si="5"/>
        <v>0.4</v>
      </c>
      <c r="N84" s="298">
        <v>0.5</v>
      </c>
      <c r="O84" s="298">
        <f t="shared" si="6"/>
        <v>0.16666666666666666</v>
      </c>
      <c r="P84" s="298">
        <f t="shared" si="7"/>
        <v>0.66666666666666663</v>
      </c>
      <c r="Q84" s="298">
        <f t="shared" si="8"/>
        <v>0.16666666666666666</v>
      </c>
      <c r="R84" s="298">
        <f t="shared" si="9"/>
        <v>0.25</v>
      </c>
      <c r="S84" s="298">
        <f t="shared" si="10"/>
        <v>0.5</v>
      </c>
      <c r="T84" s="298">
        <f t="shared" si="11"/>
        <v>0.25</v>
      </c>
      <c r="U84" s="300">
        <f t="shared" si="12"/>
        <v>310</v>
      </c>
      <c r="V84" s="300">
        <f t="shared" si="13"/>
        <v>1240</v>
      </c>
      <c r="W84" s="300">
        <f t="shared" si="14"/>
        <v>310</v>
      </c>
      <c r="X84" s="300">
        <f t="shared" si="15"/>
        <v>310</v>
      </c>
      <c r="Y84" s="300">
        <f t="shared" si="16"/>
        <v>620</v>
      </c>
      <c r="Z84" s="300">
        <f t="shared" si="17"/>
        <v>310</v>
      </c>
      <c r="AA84" s="300">
        <f t="shared" si="18"/>
        <v>7.75</v>
      </c>
      <c r="AB84" s="300">
        <f t="shared" si="19"/>
        <v>31</v>
      </c>
      <c r="AC84" s="300">
        <f t="shared" si="20"/>
        <v>7.75</v>
      </c>
      <c r="AD84" s="300">
        <f t="shared" si="21"/>
        <v>7.75</v>
      </c>
      <c r="AE84" s="300">
        <f t="shared" si="22"/>
        <v>15.5</v>
      </c>
      <c r="AF84" s="300">
        <f t="shared" si="23"/>
        <v>7.75</v>
      </c>
      <c r="AG84" s="300">
        <f t="shared" si="24"/>
        <v>15.5</v>
      </c>
      <c r="AH84" s="300">
        <f t="shared" si="25"/>
        <v>62</v>
      </c>
      <c r="AI84" s="300">
        <f t="shared" si="26"/>
        <v>15.5</v>
      </c>
      <c r="AJ84" s="300">
        <f t="shared" si="27"/>
        <v>15.5</v>
      </c>
      <c r="AK84" s="300">
        <f t="shared" si="28"/>
        <v>31</v>
      </c>
      <c r="AL84" s="300">
        <f t="shared" si="29"/>
        <v>15.5</v>
      </c>
      <c r="AM84" s="300">
        <f t="shared" si="30"/>
        <v>20.666666666666668</v>
      </c>
      <c r="AN84" s="300">
        <f t="shared" si="31"/>
        <v>15.5</v>
      </c>
      <c r="AO84" s="300">
        <f t="shared" si="32"/>
        <v>23.25</v>
      </c>
      <c r="AP84" s="300">
        <f t="shared" si="33"/>
        <v>15.5</v>
      </c>
      <c r="AQ84" s="300">
        <f t="shared" si="37"/>
        <v>74.916666666666671</v>
      </c>
      <c r="AR84" s="298">
        <v>4</v>
      </c>
      <c r="AS84" s="298">
        <v>14</v>
      </c>
      <c r="AT84" s="300">
        <f t="shared" si="35"/>
        <v>88.916666666666671</v>
      </c>
      <c r="AU84" s="299">
        <f t="shared" si="36"/>
        <v>0.98796296296296304</v>
      </c>
    </row>
    <row r="85" spans="2:47" x14ac:dyDescent="0.2">
      <c r="B85" s="298">
        <v>82</v>
      </c>
      <c r="C85" s="298">
        <v>66000</v>
      </c>
      <c r="D85" s="299">
        <f t="shared" si="3"/>
        <v>0.95</v>
      </c>
      <c r="E85" s="298">
        <f t="shared" si="4"/>
        <v>6600</v>
      </c>
      <c r="F85" s="298">
        <v>1</v>
      </c>
      <c r="G85" s="298">
        <v>3</v>
      </c>
      <c r="H85" s="298">
        <v>1</v>
      </c>
      <c r="I85" s="298">
        <v>1</v>
      </c>
      <c r="J85" s="298">
        <v>2</v>
      </c>
      <c r="K85" s="298">
        <v>1</v>
      </c>
      <c r="L85" s="298">
        <v>0.6</v>
      </c>
      <c r="M85" s="298">
        <f t="shared" si="5"/>
        <v>0.4</v>
      </c>
      <c r="N85" s="298">
        <v>0.5</v>
      </c>
      <c r="O85" s="298">
        <f t="shared" si="6"/>
        <v>0.16666666666666666</v>
      </c>
      <c r="P85" s="298">
        <f t="shared" si="7"/>
        <v>0.66666666666666663</v>
      </c>
      <c r="Q85" s="298">
        <f t="shared" si="8"/>
        <v>0.16666666666666666</v>
      </c>
      <c r="R85" s="298">
        <f t="shared" si="9"/>
        <v>0.25</v>
      </c>
      <c r="S85" s="298">
        <f t="shared" si="10"/>
        <v>0.5</v>
      </c>
      <c r="T85" s="298">
        <f t="shared" si="11"/>
        <v>0.25</v>
      </c>
      <c r="U85" s="300">
        <f t="shared" si="12"/>
        <v>330</v>
      </c>
      <c r="V85" s="300">
        <f t="shared" si="13"/>
        <v>1320</v>
      </c>
      <c r="W85" s="300">
        <f t="shared" si="14"/>
        <v>330</v>
      </c>
      <c r="X85" s="300">
        <f t="shared" si="15"/>
        <v>330</v>
      </c>
      <c r="Y85" s="300">
        <f t="shared" si="16"/>
        <v>660</v>
      </c>
      <c r="Z85" s="300">
        <f t="shared" si="17"/>
        <v>330</v>
      </c>
      <c r="AA85" s="300">
        <f t="shared" si="18"/>
        <v>8.25</v>
      </c>
      <c r="AB85" s="300">
        <f t="shared" si="19"/>
        <v>33</v>
      </c>
      <c r="AC85" s="300">
        <f t="shared" si="20"/>
        <v>8.25</v>
      </c>
      <c r="AD85" s="300">
        <f t="shared" si="21"/>
        <v>8.25</v>
      </c>
      <c r="AE85" s="300">
        <f t="shared" si="22"/>
        <v>16.5</v>
      </c>
      <c r="AF85" s="300">
        <f t="shared" si="23"/>
        <v>8.25</v>
      </c>
      <c r="AG85" s="300">
        <f t="shared" si="24"/>
        <v>16.5</v>
      </c>
      <c r="AH85" s="300">
        <f t="shared" si="25"/>
        <v>66</v>
      </c>
      <c r="AI85" s="300">
        <f t="shared" si="26"/>
        <v>16.5</v>
      </c>
      <c r="AJ85" s="300">
        <f t="shared" si="27"/>
        <v>16.5</v>
      </c>
      <c r="AK85" s="300">
        <f t="shared" si="28"/>
        <v>33</v>
      </c>
      <c r="AL85" s="300">
        <f t="shared" si="29"/>
        <v>16.5</v>
      </c>
      <c r="AM85" s="300">
        <f t="shared" si="30"/>
        <v>22</v>
      </c>
      <c r="AN85" s="300">
        <f t="shared" si="31"/>
        <v>16.5</v>
      </c>
      <c r="AO85" s="300">
        <f t="shared" si="32"/>
        <v>16.5</v>
      </c>
      <c r="AP85" s="300">
        <f t="shared" si="33"/>
        <v>16.5</v>
      </c>
      <c r="AQ85" s="300">
        <f t="shared" si="37"/>
        <v>71.5</v>
      </c>
      <c r="AR85" s="298">
        <v>4</v>
      </c>
      <c r="AS85" s="298">
        <v>14</v>
      </c>
      <c r="AT85" s="300">
        <f t="shared" si="35"/>
        <v>85.5</v>
      </c>
      <c r="AU85" s="299">
        <f t="shared" si="36"/>
        <v>0.95</v>
      </c>
    </row>
    <row r="86" spans="2:47" x14ac:dyDescent="0.2">
      <c r="B86" s="298">
        <v>83</v>
      </c>
      <c r="C86" s="298">
        <v>52000</v>
      </c>
      <c r="D86" s="299">
        <f t="shared" si="3"/>
        <v>1.0703703703703704</v>
      </c>
      <c r="E86" s="298">
        <f t="shared" si="4"/>
        <v>5200</v>
      </c>
      <c r="F86" s="298">
        <v>1</v>
      </c>
      <c r="G86" s="298">
        <v>3</v>
      </c>
      <c r="H86" s="298">
        <v>1</v>
      </c>
      <c r="I86" s="298">
        <v>0</v>
      </c>
      <c r="J86" s="298">
        <v>2</v>
      </c>
      <c r="K86" s="298">
        <v>0</v>
      </c>
      <c r="L86" s="298">
        <v>0.6</v>
      </c>
      <c r="M86" s="298">
        <f t="shared" si="5"/>
        <v>0.4</v>
      </c>
      <c r="N86" s="298">
        <v>0.5</v>
      </c>
      <c r="O86" s="298">
        <f t="shared" si="6"/>
        <v>0.16666666666666666</v>
      </c>
      <c r="P86" s="298">
        <f t="shared" si="7"/>
        <v>0.66666666666666663</v>
      </c>
      <c r="Q86" s="298">
        <f t="shared" si="8"/>
        <v>0.16666666666666666</v>
      </c>
      <c r="R86" s="298">
        <f t="shared" si="9"/>
        <v>0.25</v>
      </c>
      <c r="S86" s="298">
        <f t="shared" si="10"/>
        <v>0.5</v>
      </c>
      <c r="T86" s="298">
        <f t="shared" si="11"/>
        <v>0.25</v>
      </c>
      <c r="U86" s="300">
        <f t="shared" si="12"/>
        <v>260</v>
      </c>
      <c r="V86" s="300">
        <f t="shared" si="13"/>
        <v>1040</v>
      </c>
      <c r="W86" s="300">
        <f t="shared" si="14"/>
        <v>260</v>
      </c>
      <c r="X86" s="300">
        <f t="shared" si="15"/>
        <v>260</v>
      </c>
      <c r="Y86" s="300">
        <f t="shared" si="16"/>
        <v>520</v>
      </c>
      <c r="Z86" s="300">
        <f t="shared" si="17"/>
        <v>260</v>
      </c>
      <c r="AA86" s="300">
        <f t="shared" si="18"/>
        <v>6.5</v>
      </c>
      <c r="AB86" s="300">
        <f t="shared" si="19"/>
        <v>26</v>
      </c>
      <c r="AC86" s="300">
        <f t="shared" si="20"/>
        <v>6.5</v>
      </c>
      <c r="AD86" s="300">
        <f t="shared" si="21"/>
        <v>6.5</v>
      </c>
      <c r="AE86" s="300">
        <f t="shared" si="22"/>
        <v>13</v>
      </c>
      <c r="AF86" s="300">
        <f t="shared" si="23"/>
        <v>6.5</v>
      </c>
      <c r="AG86" s="300">
        <f t="shared" si="24"/>
        <v>13</v>
      </c>
      <c r="AH86" s="300">
        <f t="shared" si="25"/>
        <v>52</v>
      </c>
      <c r="AI86" s="300">
        <f t="shared" si="26"/>
        <v>13</v>
      </c>
      <c r="AJ86" s="300">
        <f t="shared" si="27"/>
        <v>13</v>
      </c>
      <c r="AK86" s="300">
        <f t="shared" si="28"/>
        <v>26</v>
      </c>
      <c r="AL86" s="300">
        <f t="shared" si="29"/>
        <v>13</v>
      </c>
      <c r="AM86" s="300">
        <f t="shared" si="30"/>
        <v>17.333333333333332</v>
      </c>
      <c r="AN86" s="300">
        <f t="shared" si="31"/>
        <v>13</v>
      </c>
      <c r="AO86" s="300">
        <f t="shared" si="32"/>
        <v>26</v>
      </c>
      <c r="AP86" s="300">
        <f t="shared" si="33"/>
        <v>0</v>
      </c>
      <c r="AQ86" s="300">
        <f>AM86+IF(AN86=0,0.25*AM86,AN86)+AO86+IF(AP86=0,1*AO86,AP86)</f>
        <v>82.333333333333329</v>
      </c>
      <c r="AR86" s="298">
        <v>4</v>
      </c>
      <c r="AS86" s="298">
        <v>14</v>
      </c>
      <c r="AT86" s="300">
        <f t="shared" si="35"/>
        <v>96.333333333333329</v>
      </c>
      <c r="AU86" s="299">
        <f t="shared" si="36"/>
        <v>1.0703703703703704</v>
      </c>
    </row>
    <row r="87" spans="2:47" x14ac:dyDescent="0.2">
      <c r="B87" s="298">
        <v>84</v>
      </c>
      <c r="C87" s="298">
        <v>56000</v>
      </c>
      <c r="D87" s="299">
        <f t="shared" si="3"/>
        <v>0.95555555555555571</v>
      </c>
      <c r="E87" s="298">
        <f t="shared" si="4"/>
        <v>5600</v>
      </c>
      <c r="F87" s="298">
        <v>1</v>
      </c>
      <c r="G87" s="298">
        <v>3</v>
      </c>
      <c r="H87" s="298">
        <v>1</v>
      </c>
      <c r="I87" s="298">
        <v>0</v>
      </c>
      <c r="J87" s="298">
        <v>3</v>
      </c>
      <c r="K87" s="298">
        <v>0</v>
      </c>
      <c r="L87" s="298">
        <v>0.6</v>
      </c>
      <c r="M87" s="298">
        <f t="shared" si="5"/>
        <v>0.4</v>
      </c>
      <c r="N87" s="298">
        <v>0.5</v>
      </c>
      <c r="O87" s="298">
        <f t="shared" si="6"/>
        <v>0.16666666666666666</v>
      </c>
      <c r="P87" s="298">
        <f t="shared" si="7"/>
        <v>0.66666666666666663</v>
      </c>
      <c r="Q87" s="298">
        <f t="shared" si="8"/>
        <v>0.16666666666666666</v>
      </c>
      <c r="R87" s="298">
        <f t="shared" si="9"/>
        <v>0.25</v>
      </c>
      <c r="S87" s="298">
        <f t="shared" si="10"/>
        <v>0.5</v>
      </c>
      <c r="T87" s="298">
        <f t="shared" si="11"/>
        <v>0.25</v>
      </c>
      <c r="U87" s="300">
        <f t="shared" si="12"/>
        <v>280</v>
      </c>
      <c r="V87" s="300">
        <f t="shared" si="13"/>
        <v>1120</v>
      </c>
      <c r="W87" s="300">
        <f t="shared" si="14"/>
        <v>280</v>
      </c>
      <c r="X87" s="300">
        <f t="shared" si="15"/>
        <v>280</v>
      </c>
      <c r="Y87" s="300">
        <f t="shared" si="16"/>
        <v>560</v>
      </c>
      <c r="Z87" s="300">
        <f t="shared" si="17"/>
        <v>280</v>
      </c>
      <c r="AA87" s="300">
        <f t="shared" si="18"/>
        <v>7</v>
      </c>
      <c r="AB87" s="300">
        <f t="shared" si="19"/>
        <v>28</v>
      </c>
      <c r="AC87" s="300">
        <f t="shared" si="20"/>
        <v>7</v>
      </c>
      <c r="AD87" s="300">
        <f t="shared" si="21"/>
        <v>7</v>
      </c>
      <c r="AE87" s="300">
        <f t="shared" si="22"/>
        <v>14</v>
      </c>
      <c r="AF87" s="300">
        <f t="shared" si="23"/>
        <v>7</v>
      </c>
      <c r="AG87" s="300">
        <f t="shared" si="24"/>
        <v>14</v>
      </c>
      <c r="AH87" s="300">
        <f t="shared" si="25"/>
        <v>56</v>
      </c>
      <c r="AI87" s="300">
        <f t="shared" si="26"/>
        <v>14</v>
      </c>
      <c r="AJ87" s="300">
        <f t="shared" si="27"/>
        <v>14</v>
      </c>
      <c r="AK87" s="300">
        <f t="shared" si="28"/>
        <v>28</v>
      </c>
      <c r="AL87" s="300">
        <f t="shared" si="29"/>
        <v>14</v>
      </c>
      <c r="AM87" s="300">
        <f t="shared" si="30"/>
        <v>18.666666666666668</v>
      </c>
      <c r="AN87" s="300">
        <f t="shared" si="31"/>
        <v>14</v>
      </c>
      <c r="AO87" s="300">
        <f t="shared" si="32"/>
        <v>18.666666666666668</v>
      </c>
      <c r="AP87" s="300">
        <f t="shared" si="33"/>
        <v>0</v>
      </c>
      <c r="AQ87" s="300">
        <f>AM87+IF(AN87=0,0.25*AM87,AN87)+AO87+IF(AP87=0,1*AO87,AP87)</f>
        <v>70.000000000000014</v>
      </c>
      <c r="AR87" s="298">
        <v>4</v>
      </c>
      <c r="AS87" s="298">
        <v>16</v>
      </c>
      <c r="AT87" s="300">
        <f t="shared" si="35"/>
        <v>86.000000000000014</v>
      </c>
      <c r="AU87" s="299">
        <f t="shared" si="36"/>
        <v>0.95555555555555571</v>
      </c>
    </row>
    <row r="88" spans="2:47" x14ac:dyDescent="0.2">
      <c r="B88" s="298">
        <v>85</v>
      </c>
      <c r="C88" s="298">
        <v>68000</v>
      </c>
      <c r="D88" s="299">
        <f t="shared" si="3"/>
        <v>0.99629629629629635</v>
      </c>
      <c r="E88" s="298">
        <f t="shared" si="4"/>
        <v>6800</v>
      </c>
      <c r="F88" s="298">
        <v>1</v>
      </c>
      <c r="G88" s="298">
        <v>3</v>
      </c>
      <c r="H88" s="298">
        <v>1</v>
      </c>
      <c r="I88" s="298">
        <v>1</v>
      </c>
      <c r="J88" s="298">
        <v>3</v>
      </c>
      <c r="K88" s="298">
        <v>0</v>
      </c>
      <c r="L88" s="298">
        <v>0.6</v>
      </c>
      <c r="M88" s="298">
        <f t="shared" si="5"/>
        <v>0.4</v>
      </c>
      <c r="N88" s="298">
        <v>0.5</v>
      </c>
      <c r="O88" s="298">
        <f t="shared" si="6"/>
        <v>0.16666666666666666</v>
      </c>
      <c r="P88" s="298">
        <f t="shared" si="7"/>
        <v>0.66666666666666663</v>
      </c>
      <c r="Q88" s="298">
        <f t="shared" si="8"/>
        <v>0.16666666666666666</v>
      </c>
      <c r="R88" s="298">
        <f t="shared" si="9"/>
        <v>0.25</v>
      </c>
      <c r="S88" s="298">
        <f t="shared" si="10"/>
        <v>0.5</v>
      </c>
      <c r="T88" s="298">
        <f t="shared" si="11"/>
        <v>0.25</v>
      </c>
      <c r="U88" s="300">
        <f t="shared" si="12"/>
        <v>340</v>
      </c>
      <c r="V88" s="300">
        <f t="shared" si="13"/>
        <v>1360</v>
      </c>
      <c r="W88" s="300">
        <f t="shared" si="14"/>
        <v>340</v>
      </c>
      <c r="X88" s="300">
        <f t="shared" si="15"/>
        <v>340</v>
      </c>
      <c r="Y88" s="300">
        <f t="shared" si="16"/>
        <v>680</v>
      </c>
      <c r="Z88" s="300">
        <f t="shared" si="17"/>
        <v>340</v>
      </c>
      <c r="AA88" s="300">
        <f t="shared" si="18"/>
        <v>8.5</v>
      </c>
      <c r="AB88" s="300">
        <f t="shared" si="19"/>
        <v>34</v>
      </c>
      <c r="AC88" s="300">
        <f t="shared" si="20"/>
        <v>8.5</v>
      </c>
      <c r="AD88" s="300">
        <f t="shared" si="21"/>
        <v>8.5</v>
      </c>
      <c r="AE88" s="300">
        <f t="shared" si="22"/>
        <v>17</v>
      </c>
      <c r="AF88" s="300">
        <f t="shared" si="23"/>
        <v>8.5</v>
      </c>
      <c r="AG88" s="300">
        <f t="shared" si="24"/>
        <v>17</v>
      </c>
      <c r="AH88" s="300">
        <f t="shared" si="25"/>
        <v>68</v>
      </c>
      <c r="AI88" s="300">
        <f t="shared" si="26"/>
        <v>17</v>
      </c>
      <c r="AJ88" s="300">
        <f t="shared" si="27"/>
        <v>17</v>
      </c>
      <c r="AK88" s="300">
        <f t="shared" si="28"/>
        <v>34</v>
      </c>
      <c r="AL88" s="300">
        <f t="shared" si="29"/>
        <v>17</v>
      </c>
      <c r="AM88" s="300">
        <f t="shared" si="30"/>
        <v>22.666666666666668</v>
      </c>
      <c r="AN88" s="300">
        <f t="shared" si="31"/>
        <v>17</v>
      </c>
      <c r="AO88" s="300">
        <f t="shared" si="32"/>
        <v>17</v>
      </c>
      <c r="AP88" s="300">
        <f t="shared" si="33"/>
        <v>17</v>
      </c>
      <c r="AQ88" s="300">
        <f>AM88+IF(AN88=0,0.25*AM88,AN88)+AO88+IF(AP88=0,0.25*AO88,AP88)</f>
        <v>73.666666666666671</v>
      </c>
      <c r="AR88" s="298">
        <v>4</v>
      </c>
      <c r="AS88" s="298">
        <v>16</v>
      </c>
      <c r="AT88" s="300">
        <f t="shared" si="35"/>
        <v>89.666666666666671</v>
      </c>
      <c r="AU88" s="299">
        <f t="shared" si="36"/>
        <v>0.99629629629629635</v>
      </c>
    </row>
    <row r="89" spans="2:47" x14ac:dyDescent="0.2">
      <c r="B89" s="298">
        <v>86</v>
      </c>
      <c r="C89" s="298">
        <v>72000</v>
      </c>
      <c r="D89" s="299">
        <f t="shared" si="3"/>
        <v>0.97777777777777775</v>
      </c>
      <c r="E89" s="298">
        <f t="shared" si="4"/>
        <v>7200</v>
      </c>
      <c r="F89" s="298">
        <v>1</v>
      </c>
      <c r="G89" s="298">
        <v>3</v>
      </c>
      <c r="H89" s="298">
        <v>1</v>
      </c>
      <c r="I89" s="298">
        <v>1</v>
      </c>
      <c r="J89" s="298">
        <v>3</v>
      </c>
      <c r="K89" s="298">
        <v>1</v>
      </c>
      <c r="L89" s="298">
        <v>0.6</v>
      </c>
      <c r="M89" s="298">
        <f t="shared" si="5"/>
        <v>0.4</v>
      </c>
      <c r="N89" s="298">
        <v>0.5</v>
      </c>
      <c r="O89" s="298">
        <f t="shared" si="6"/>
        <v>0.16666666666666666</v>
      </c>
      <c r="P89" s="298">
        <f t="shared" si="7"/>
        <v>0.66666666666666663</v>
      </c>
      <c r="Q89" s="298">
        <f t="shared" si="8"/>
        <v>0.16666666666666666</v>
      </c>
      <c r="R89" s="298">
        <f t="shared" si="9"/>
        <v>0.25</v>
      </c>
      <c r="S89" s="298">
        <f t="shared" si="10"/>
        <v>0.5</v>
      </c>
      <c r="T89" s="298">
        <f t="shared" si="11"/>
        <v>0.25</v>
      </c>
      <c r="U89" s="300">
        <f t="shared" si="12"/>
        <v>360</v>
      </c>
      <c r="V89" s="300">
        <f t="shared" si="13"/>
        <v>1440</v>
      </c>
      <c r="W89" s="300">
        <f t="shared" si="14"/>
        <v>360</v>
      </c>
      <c r="X89" s="300">
        <f t="shared" si="15"/>
        <v>360</v>
      </c>
      <c r="Y89" s="300">
        <f t="shared" si="16"/>
        <v>720</v>
      </c>
      <c r="Z89" s="300">
        <f t="shared" si="17"/>
        <v>360</v>
      </c>
      <c r="AA89" s="300">
        <f t="shared" si="18"/>
        <v>9</v>
      </c>
      <c r="AB89" s="300">
        <f t="shared" si="19"/>
        <v>36</v>
      </c>
      <c r="AC89" s="300">
        <f t="shared" si="20"/>
        <v>9</v>
      </c>
      <c r="AD89" s="300">
        <f t="shared" si="21"/>
        <v>9</v>
      </c>
      <c r="AE89" s="300">
        <f t="shared" si="22"/>
        <v>18</v>
      </c>
      <c r="AF89" s="300">
        <f t="shared" si="23"/>
        <v>9</v>
      </c>
      <c r="AG89" s="300">
        <f t="shared" si="24"/>
        <v>18</v>
      </c>
      <c r="AH89" s="300">
        <f t="shared" si="25"/>
        <v>72</v>
      </c>
      <c r="AI89" s="300">
        <f t="shared" si="26"/>
        <v>18</v>
      </c>
      <c r="AJ89" s="300">
        <f t="shared" si="27"/>
        <v>18</v>
      </c>
      <c r="AK89" s="300">
        <f t="shared" si="28"/>
        <v>36</v>
      </c>
      <c r="AL89" s="300">
        <f t="shared" si="29"/>
        <v>18</v>
      </c>
      <c r="AM89" s="300">
        <f t="shared" si="30"/>
        <v>24</v>
      </c>
      <c r="AN89" s="300">
        <f t="shared" si="31"/>
        <v>18</v>
      </c>
      <c r="AO89" s="300">
        <f t="shared" si="32"/>
        <v>12</v>
      </c>
      <c r="AP89" s="300">
        <f t="shared" si="33"/>
        <v>18</v>
      </c>
      <c r="AQ89" s="300">
        <f>AM89+IF(AN89=0,0.25*AM89,AN89)+AO89+IF(AP89=0,0.25*AO89,AP89)</f>
        <v>72</v>
      </c>
      <c r="AR89" s="298">
        <v>4</v>
      </c>
      <c r="AS89" s="298">
        <v>16</v>
      </c>
      <c r="AT89" s="300">
        <f t="shared" si="35"/>
        <v>88</v>
      </c>
      <c r="AU89" s="299">
        <f t="shared" si="36"/>
        <v>0.97777777777777775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28"/>
  <sheetViews>
    <sheetView zoomScale="85" zoomScaleNormal="85" workbookViewId="0">
      <selection activeCell="R22" sqref="R22"/>
    </sheetView>
  </sheetViews>
  <sheetFormatPr defaultRowHeight="15" x14ac:dyDescent="0.25"/>
  <cols>
    <col min="1" max="1" width="9.140625" style="1"/>
    <col min="2" max="2" width="19" style="1" customWidth="1"/>
    <col min="3" max="3" width="22.85546875" style="1" customWidth="1"/>
    <col min="4" max="4" width="14.42578125" style="1" customWidth="1"/>
    <col min="5" max="5" width="19.42578125" style="1" customWidth="1"/>
    <col min="6" max="6" width="9.140625" style="1"/>
    <col min="7" max="7" width="24" style="1" customWidth="1"/>
    <col min="8" max="9" width="18.28515625" style="1" customWidth="1"/>
    <col min="10" max="10" width="20.42578125" style="1" customWidth="1"/>
    <col min="11" max="11" width="9.140625" style="1"/>
    <col min="12" max="12" width="14.28515625" style="1" customWidth="1"/>
    <col min="13" max="15" width="21.5703125" style="1" customWidth="1"/>
    <col min="16" max="16" width="9.140625" style="1"/>
    <col min="17" max="17" width="16.5703125" style="1" customWidth="1"/>
    <col min="18" max="18" width="16" style="1" customWidth="1"/>
    <col min="19" max="19" width="19" style="1" customWidth="1"/>
    <col min="20" max="20" width="23" style="1" customWidth="1"/>
    <col min="21" max="21" width="6.5703125" style="1" bestFit="1" customWidth="1"/>
    <col min="22" max="22" width="19.140625" style="1" customWidth="1"/>
    <col min="23" max="23" width="29.140625" style="1" customWidth="1"/>
    <col min="24" max="24" width="5.5703125" style="1" bestFit="1" customWidth="1"/>
    <col min="25" max="25" width="21.140625" style="1" customWidth="1"/>
    <col min="26" max="26" width="7.5703125" style="1" bestFit="1" customWidth="1"/>
    <col min="27" max="27" width="21.42578125" style="1" bestFit="1" customWidth="1"/>
    <col min="28" max="29" width="13.140625" style="1" bestFit="1" customWidth="1"/>
    <col min="30" max="16384" width="9.140625" style="1"/>
  </cols>
  <sheetData>
    <row r="2" spans="2:29" ht="15.75" thickBot="1" x14ac:dyDescent="0.3"/>
    <row r="3" spans="2:29" ht="15.75" thickBot="1" x14ac:dyDescent="0.3">
      <c r="B3" s="26" t="s">
        <v>100</v>
      </c>
      <c r="C3" s="28"/>
      <c r="G3" s="26" t="s">
        <v>111</v>
      </c>
      <c r="H3" s="27"/>
      <c r="I3" s="28"/>
      <c r="J3" s="11"/>
      <c r="L3" s="26" t="s">
        <v>118</v>
      </c>
      <c r="M3" s="27"/>
      <c r="N3" s="28"/>
      <c r="O3" s="11"/>
      <c r="Q3" s="26" t="s">
        <v>181</v>
      </c>
      <c r="R3" s="27"/>
      <c r="S3" s="27"/>
      <c r="T3" s="28"/>
    </row>
    <row r="4" spans="2:29" x14ac:dyDescent="0.25">
      <c r="B4" s="23"/>
      <c r="C4" s="23"/>
      <c r="D4" s="23"/>
      <c r="E4" s="23"/>
      <c r="G4" s="23"/>
      <c r="H4" s="23"/>
      <c r="I4" s="23"/>
      <c r="J4" s="23"/>
      <c r="L4" s="23"/>
      <c r="M4" s="23"/>
      <c r="N4" s="23"/>
      <c r="O4" s="23"/>
    </row>
    <row r="5" spans="2:29" x14ac:dyDescent="0.25">
      <c r="B5" s="1" t="s">
        <v>105</v>
      </c>
      <c r="C5" s="23"/>
      <c r="D5" s="23"/>
      <c r="E5" s="23"/>
      <c r="G5" s="1" t="s">
        <v>112</v>
      </c>
      <c r="H5" s="23"/>
      <c r="I5" s="23"/>
      <c r="J5" s="23"/>
      <c r="L5" s="1" t="s">
        <v>119</v>
      </c>
      <c r="M5" s="23"/>
      <c r="N5" s="23"/>
      <c r="O5" s="23"/>
      <c r="Q5" s="1" t="s">
        <v>257</v>
      </c>
    </row>
    <row r="7" spans="2:29" x14ac:dyDescent="0.25">
      <c r="B7" s="37" t="s">
        <v>41</v>
      </c>
      <c r="C7" s="17" t="s">
        <v>42</v>
      </c>
      <c r="D7" s="116"/>
      <c r="E7" s="117" t="s">
        <v>463</v>
      </c>
      <c r="G7" s="37" t="s">
        <v>41</v>
      </c>
      <c r="H7" s="17" t="s">
        <v>42</v>
      </c>
      <c r="I7" s="116"/>
      <c r="J7" s="113" t="s">
        <v>463</v>
      </c>
      <c r="L7" s="37" t="s">
        <v>41</v>
      </c>
      <c r="M7" s="17" t="s">
        <v>42</v>
      </c>
      <c r="N7" s="116"/>
      <c r="O7" s="113" t="s">
        <v>463</v>
      </c>
      <c r="Q7" s="59" t="s">
        <v>182</v>
      </c>
      <c r="R7" s="22" t="s">
        <v>183</v>
      </c>
      <c r="S7" s="22" t="s">
        <v>184</v>
      </c>
      <c r="T7" s="22" t="s">
        <v>185</v>
      </c>
      <c r="U7" s="22" t="s">
        <v>186</v>
      </c>
      <c r="V7" s="22" t="s">
        <v>187</v>
      </c>
      <c r="W7" s="22" t="s">
        <v>188</v>
      </c>
      <c r="X7" s="24" t="s">
        <v>189</v>
      </c>
      <c r="Y7" s="22" t="s">
        <v>39</v>
      </c>
      <c r="Z7" s="22" t="s">
        <v>190</v>
      </c>
      <c r="AA7" s="22" t="s">
        <v>191</v>
      </c>
      <c r="AB7" s="22" t="s">
        <v>200</v>
      </c>
      <c r="AC7" s="60" t="s">
        <v>201</v>
      </c>
    </row>
    <row r="8" spans="2:29" x14ac:dyDescent="0.25">
      <c r="B8" s="43" t="s">
        <v>101</v>
      </c>
      <c r="C8" s="19" t="s">
        <v>340</v>
      </c>
      <c r="D8" s="19"/>
      <c r="E8" s="111" t="s">
        <v>459</v>
      </c>
      <c r="G8" s="43" t="s">
        <v>101</v>
      </c>
      <c r="H8" s="19" t="s">
        <v>340</v>
      </c>
      <c r="I8" s="19"/>
      <c r="J8" s="111" t="s">
        <v>459</v>
      </c>
      <c r="L8" s="43" t="s">
        <v>5</v>
      </c>
      <c r="M8" s="19" t="s">
        <v>347</v>
      </c>
      <c r="N8" s="19"/>
      <c r="O8" s="111" t="s">
        <v>460</v>
      </c>
      <c r="Q8" s="65" t="s">
        <v>192</v>
      </c>
      <c r="R8" s="31">
        <v>1</v>
      </c>
      <c r="S8" s="31" t="s">
        <v>193</v>
      </c>
      <c r="T8" s="31" t="s">
        <v>194</v>
      </c>
      <c r="U8" s="31">
        <v>25</v>
      </c>
      <c r="V8" s="31">
        <v>30</v>
      </c>
      <c r="W8" s="31">
        <v>45</v>
      </c>
      <c r="X8" s="32">
        <v>1</v>
      </c>
      <c r="Y8" s="31">
        <v>1</v>
      </c>
      <c r="Z8" s="31">
        <v>0</v>
      </c>
      <c r="AA8" s="31" t="s">
        <v>195</v>
      </c>
      <c r="AB8" s="31">
        <v>0</v>
      </c>
      <c r="AC8" s="62">
        <v>0</v>
      </c>
    </row>
    <row r="9" spans="2:29" x14ac:dyDescent="0.25">
      <c r="B9" s="43" t="s">
        <v>102</v>
      </c>
      <c r="C9" s="19" t="s">
        <v>341</v>
      </c>
      <c r="D9" s="19"/>
      <c r="E9" s="104" t="s">
        <v>459</v>
      </c>
      <c r="G9" s="43" t="s">
        <v>106</v>
      </c>
      <c r="H9" s="19" t="s">
        <v>342</v>
      </c>
      <c r="I9" s="19"/>
      <c r="J9" s="104" t="s">
        <v>459</v>
      </c>
      <c r="L9" s="43" t="s">
        <v>114</v>
      </c>
      <c r="M9" s="19" t="s">
        <v>347</v>
      </c>
      <c r="N9" s="19"/>
      <c r="O9" s="104" t="s">
        <v>459</v>
      </c>
      <c r="Q9" s="65" t="s">
        <v>196</v>
      </c>
      <c r="R9" s="31">
        <v>2</v>
      </c>
      <c r="S9" s="31" t="s">
        <v>193</v>
      </c>
      <c r="T9" s="31" t="s">
        <v>194</v>
      </c>
      <c r="U9" s="31">
        <v>65</v>
      </c>
      <c r="V9" s="31">
        <v>30</v>
      </c>
      <c r="W9" s="31">
        <v>45</v>
      </c>
      <c r="X9" s="32">
        <v>1</v>
      </c>
      <c r="Y9" s="31">
        <v>0</v>
      </c>
      <c r="Z9" s="31">
        <v>1</v>
      </c>
      <c r="AA9" s="31" t="s">
        <v>195</v>
      </c>
      <c r="AB9" s="31">
        <v>0</v>
      </c>
      <c r="AC9" s="62">
        <v>0</v>
      </c>
    </row>
    <row r="10" spans="2:29" x14ac:dyDescent="0.25">
      <c r="B10" s="43" t="s">
        <v>103</v>
      </c>
      <c r="C10" s="19" t="s">
        <v>513</v>
      </c>
      <c r="D10" s="19"/>
      <c r="E10" s="104" t="s">
        <v>459</v>
      </c>
      <c r="G10" s="43" t="s">
        <v>107</v>
      </c>
      <c r="H10" s="19" t="s">
        <v>342</v>
      </c>
      <c r="I10" s="19"/>
      <c r="J10" s="104" t="s">
        <v>459</v>
      </c>
      <c r="L10" s="43" t="s">
        <v>120</v>
      </c>
      <c r="M10" s="19" t="s">
        <v>348</v>
      </c>
      <c r="N10" s="19"/>
      <c r="O10" s="104" t="s">
        <v>459</v>
      </c>
      <c r="Q10" s="66" t="s">
        <v>197</v>
      </c>
      <c r="R10" s="33">
        <v>70</v>
      </c>
      <c r="S10" s="33" t="s">
        <v>198</v>
      </c>
      <c r="T10" s="33"/>
      <c r="U10" s="33">
        <v>4</v>
      </c>
      <c r="V10" s="33"/>
      <c r="W10" s="33"/>
      <c r="X10" s="34">
        <v>0</v>
      </c>
      <c r="Y10" s="33">
        <v>1</v>
      </c>
      <c r="Z10" s="33">
        <v>1</v>
      </c>
      <c r="AA10" s="33" t="s">
        <v>199</v>
      </c>
      <c r="AB10" s="33">
        <v>1</v>
      </c>
      <c r="AC10" s="64">
        <v>1</v>
      </c>
    </row>
    <row r="11" spans="2:29" x14ac:dyDescent="0.25">
      <c r="B11" s="43" t="s">
        <v>106</v>
      </c>
      <c r="C11" s="19" t="s">
        <v>342</v>
      </c>
      <c r="D11" s="19"/>
      <c r="E11" s="104" t="s">
        <v>459</v>
      </c>
      <c r="G11" s="43" t="s">
        <v>102</v>
      </c>
      <c r="H11" s="19" t="s">
        <v>341</v>
      </c>
      <c r="I11" s="19"/>
      <c r="J11" s="104" t="s">
        <v>459</v>
      </c>
      <c r="L11" s="43" t="s">
        <v>113</v>
      </c>
      <c r="M11" s="19" t="s">
        <v>349</v>
      </c>
      <c r="N11" s="19"/>
      <c r="O11" s="104" t="s">
        <v>459</v>
      </c>
    </row>
    <row r="12" spans="2:29" x14ac:dyDescent="0.25">
      <c r="B12" s="43" t="s">
        <v>107</v>
      </c>
      <c r="C12" s="19" t="s">
        <v>342</v>
      </c>
      <c r="D12" s="19"/>
      <c r="E12" s="104" t="s">
        <v>459</v>
      </c>
      <c r="G12" s="43" t="s">
        <v>113</v>
      </c>
      <c r="H12" s="19" t="s">
        <v>514</v>
      </c>
      <c r="I12" s="19"/>
      <c r="J12" s="104" t="s">
        <v>459</v>
      </c>
      <c r="L12" s="43" t="s">
        <v>45</v>
      </c>
      <c r="M12" s="19" t="s">
        <v>350</v>
      </c>
      <c r="N12" s="19"/>
      <c r="O12" s="104" t="s">
        <v>459</v>
      </c>
    </row>
    <row r="13" spans="2:29" x14ac:dyDescent="0.25">
      <c r="B13" s="43" t="s">
        <v>104</v>
      </c>
      <c r="C13" s="19" t="s">
        <v>343</v>
      </c>
      <c r="D13" s="19"/>
      <c r="E13" s="104" t="s">
        <v>459</v>
      </c>
      <c r="G13" s="43" t="s">
        <v>114</v>
      </c>
      <c r="H13" s="19" t="s">
        <v>347</v>
      </c>
      <c r="I13" s="19"/>
      <c r="J13" s="104" t="s">
        <v>459</v>
      </c>
      <c r="L13" s="43" t="s">
        <v>46</v>
      </c>
      <c r="M13" s="19" t="s">
        <v>351</v>
      </c>
      <c r="N13" s="19"/>
      <c r="O13" s="104" t="s">
        <v>459</v>
      </c>
    </row>
    <row r="14" spans="2:29" x14ac:dyDescent="0.25">
      <c r="B14" s="43" t="s">
        <v>108</v>
      </c>
      <c r="C14" s="19" t="s">
        <v>344</v>
      </c>
      <c r="D14" s="19"/>
      <c r="E14" s="104" t="s">
        <v>459</v>
      </c>
      <c r="G14" s="43" t="s">
        <v>115</v>
      </c>
      <c r="H14" s="104" t="s">
        <v>323</v>
      </c>
      <c r="I14" s="19"/>
      <c r="J14" s="104" t="s">
        <v>459</v>
      </c>
      <c r="L14" s="44" t="s">
        <v>115</v>
      </c>
      <c r="M14" s="107" t="s">
        <v>352</v>
      </c>
      <c r="N14" s="107"/>
      <c r="O14" s="108" t="s">
        <v>462</v>
      </c>
    </row>
    <row r="15" spans="2:29" x14ac:dyDescent="0.25">
      <c r="B15" s="43" t="s">
        <v>109</v>
      </c>
      <c r="C15" s="19" t="s">
        <v>345</v>
      </c>
      <c r="D15" s="19"/>
      <c r="E15" s="104" t="s">
        <v>459</v>
      </c>
      <c r="G15" s="43" t="s">
        <v>116</v>
      </c>
      <c r="H15" s="19" t="s">
        <v>348</v>
      </c>
      <c r="I15" s="19"/>
      <c r="J15" s="104" t="s">
        <v>459</v>
      </c>
      <c r="Q15" s="37" t="s">
        <v>41</v>
      </c>
      <c r="R15" s="17" t="s">
        <v>42</v>
      </c>
      <c r="S15" s="116"/>
      <c r="T15" s="113" t="s">
        <v>463</v>
      </c>
      <c r="V15" s="37" t="s">
        <v>41</v>
      </c>
      <c r="W15" s="17" t="s">
        <v>42</v>
      </c>
      <c r="X15" s="116"/>
      <c r="Y15" s="113" t="s">
        <v>463</v>
      </c>
    </row>
    <row r="16" spans="2:29" x14ac:dyDescent="0.25">
      <c r="B16" s="43" t="s">
        <v>110</v>
      </c>
      <c r="C16" s="19" t="s">
        <v>346</v>
      </c>
      <c r="D16" s="19"/>
      <c r="E16" s="104" t="s">
        <v>459</v>
      </c>
      <c r="G16" s="44" t="s">
        <v>117</v>
      </c>
      <c r="H16" s="107" t="s">
        <v>515</v>
      </c>
      <c r="I16" s="107"/>
      <c r="J16" s="108" t="s">
        <v>459</v>
      </c>
      <c r="Q16" s="109" t="s">
        <v>182</v>
      </c>
      <c r="R16" s="110" t="s">
        <v>353</v>
      </c>
      <c r="S16" s="110"/>
      <c r="T16" s="104" t="s">
        <v>459</v>
      </c>
      <c r="V16" s="109" t="s">
        <v>182</v>
      </c>
      <c r="W16" s="110" t="s">
        <v>353</v>
      </c>
      <c r="X16" s="110"/>
      <c r="Y16" s="104" t="s">
        <v>459</v>
      </c>
    </row>
    <row r="17" spans="2:25" x14ac:dyDescent="0.25">
      <c r="B17" s="44" t="s">
        <v>39</v>
      </c>
      <c r="C17" s="107" t="s">
        <v>509</v>
      </c>
      <c r="D17" s="107"/>
      <c r="E17" s="108" t="s">
        <v>459</v>
      </c>
      <c r="Q17" s="43" t="s">
        <v>183</v>
      </c>
      <c r="R17" s="19" t="s">
        <v>354</v>
      </c>
      <c r="S17" s="19"/>
      <c r="T17" s="104" t="s">
        <v>459</v>
      </c>
      <c r="V17" s="43" t="s">
        <v>183</v>
      </c>
      <c r="W17" s="19" t="s">
        <v>354</v>
      </c>
      <c r="X17" s="19"/>
      <c r="Y17" s="104" t="s">
        <v>459</v>
      </c>
    </row>
    <row r="18" spans="2:25" x14ac:dyDescent="0.25">
      <c r="Q18" s="43" t="s">
        <v>508</v>
      </c>
      <c r="R18" s="19" t="s">
        <v>509</v>
      </c>
      <c r="S18" s="19"/>
      <c r="T18" s="104" t="s">
        <v>459</v>
      </c>
      <c r="V18" s="43" t="s">
        <v>184</v>
      </c>
      <c r="W18" s="19" t="s">
        <v>355</v>
      </c>
      <c r="X18" s="19"/>
      <c r="Y18" s="104" t="s">
        <v>459</v>
      </c>
    </row>
    <row r="19" spans="2:25" x14ac:dyDescent="0.25">
      <c r="Q19" s="43" t="s">
        <v>184</v>
      </c>
      <c r="R19" s="19" t="s">
        <v>355</v>
      </c>
      <c r="S19" s="19"/>
      <c r="T19" s="104" t="s">
        <v>459</v>
      </c>
      <c r="V19" s="43" t="s">
        <v>185</v>
      </c>
      <c r="W19" s="19" t="s">
        <v>356</v>
      </c>
      <c r="X19" s="19"/>
      <c r="Y19" s="104" t="s">
        <v>459</v>
      </c>
    </row>
    <row r="20" spans="2:25" x14ac:dyDescent="0.25">
      <c r="Q20" s="43" t="s">
        <v>185</v>
      </c>
      <c r="R20" s="19" t="s">
        <v>356</v>
      </c>
      <c r="S20" s="19"/>
      <c r="T20" s="104" t="s">
        <v>459</v>
      </c>
      <c r="V20" s="43" t="s">
        <v>186</v>
      </c>
      <c r="W20" s="19" t="s">
        <v>357</v>
      </c>
      <c r="X20" s="19"/>
      <c r="Y20" s="104" t="s">
        <v>459</v>
      </c>
    </row>
    <row r="21" spans="2:25" x14ac:dyDescent="0.25">
      <c r="Q21" s="43" t="s">
        <v>186</v>
      </c>
      <c r="R21" s="19" t="s">
        <v>357</v>
      </c>
      <c r="S21" s="19"/>
      <c r="T21" s="104" t="s">
        <v>459</v>
      </c>
      <c r="V21" s="43" t="s">
        <v>187</v>
      </c>
      <c r="W21" s="19" t="s">
        <v>358</v>
      </c>
      <c r="X21" s="19"/>
      <c r="Y21" s="104" t="s">
        <v>459</v>
      </c>
    </row>
    <row r="22" spans="2:25" x14ac:dyDescent="0.25">
      <c r="Q22" s="43" t="s">
        <v>187</v>
      </c>
      <c r="R22" s="19" t="s">
        <v>358</v>
      </c>
      <c r="S22" s="19"/>
      <c r="T22" s="104" t="s">
        <v>459</v>
      </c>
      <c r="V22" s="43" t="s">
        <v>188</v>
      </c>
      <c r="W22" s="19" t="s">
        <v>359</v>
      </c>
      <c r="X22" s="19"/>
      <c r="Y22" s="104" t="s">
        <v>459</v>
      </c>
    </row>
    <row r="23" spans="2:25" x14ac:dyDescent="0.25">
      <c r="Q23" s="43" t="s">
        <v>188</v>
      </c>
      <c r="R23" s="19" t="s">
        <v>359</v>
      </c>
      <c r="S23" s="19"/>
      <c r="T23" s="104" t="s">
        <v>459</v>
      </c>
      <c r="V23" s="43" t="s">
        <v>189</v>
      </c>
      <c r="W23" s="19" t="s">
        <v>360</v>
      </c>
      <c r="X23" s="19"/>
      <c r="Y23" s="104" t="s">
        <v>459</v>
      </c>
    </row>
    <row r="24" spans="2:25" x14ac:dyDescent="0.25">
      <c r="Q24" s="43" t="s">
        <v>189</v>
      </c>
      <c r="R24" s="19" t="s">
        <v>360</v>
      </c>
      <c r="S24" s="19"/>
      <c r="T24" s="104" t="s">
        <v>459</v>
      </c>
      <c r="V24" s="43" t="s">
        <v>39</v>
      </c>
      <c r="W24" s="19" t="s">
        <v>361</v>
      </c>
      <c r="X24" s="19"/>
      <c r="Y24" s="104" t="s">
        <v>459</v>
      </c>
    </row>
    <row r="25" spans="2:25" x14ac:dyDescent="0.25">
      <c r="Q25" s="43" t="s">
        <v>191</v>
      </c>
      <c r="R25" s="19" t="s">
        <v>510</v>
      </c>
      <c r="S25" s="19"/>
      <c r="T25" s="104" t="s">
        <v>459</v>
      </c>
      <c r="V25" s="43" t="s">
        <v>190</v>
      </c>
      <c r="W25" s="19" t="s">
        <v>361</v>
      </c>
      <c r="X25" s="19"/>
      <c r="Y25" s="104" t="s">
        <v>459</v>
      </c>
    </row>
    <row r="26" spans="2:25" x14ac:dyDescent="0.25">
      <c r="Q26" s="43" t="s">
        <v>200</v>
      </c>
      <c r="R26" s="19" t="s">
        <v>511</v>
      </c>
      <c r="S26" s="19"/>
      <c r="T26" s="104" t="s">
        <v>459</v>
      </c>
      <c r="V26" s="43" t="s">
        <v>191</v>
      </c>
      <c r="W26" s="19" t="s">
        <v>362</v>
      </c>
      <c r="X26" s="19"/>
      <c r="Y26" s="104" t="s">
        <v>459</v>
      </c>
    </row>
    <row r="27" spans="2:25" x14ac:dyDescent="0.25">
      <c r="Q27" s="44" t="s">
        <v>201</v>
      </c>
      <c r="R27" s="107" t="s">
        <v>512</v>
      </c>
      <c r="S27" s="107"/>
      <c r="T27" s="108" t="s">
        <v>459</v>
      </c>
      <c r="V27" s="43" t="s">
        <v>200</v>
      </c>
      <c r="W27" s="19" t="s">
        <v>361</v>
      </c>
      <c r="X27" s="19"/>
      <c r="Y27" s="104" t="s">
        <v>459</v>
      </c>
    </row>
    <row r="28" spans="2:25" x14ac:dyDescent="0.25">
      <c r="V28" s="44" t="s">
        <v>201</v>
      </c>
      <c r="W28" s="107" t="s">
        <v>361</v>
      </c>
      <c r="X28" s="107"/>
      <c r="Y28" s="108" t="s">
        <v>459</v>
      </c>
    </row>
  </sheetData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I87"/>
  <sheetViews>
    <sheetView showGridLines="0" tabSelected="1" zoomScaleNormal="100" workbookViewId="0">
      <selection activeCell="I65" sqref="I65"/>
    </sheetView>
  </sheetViews>
  <sheetFormatPr defaultRowHeight="15" x14ac:dyDescent="0.25"/>
  <cols>
    <col min="1" max="1" width="9.140625" style="1"/>
    <col min="2" max="2" width="35.85546875" style="1" customWidth="1"/>
    <col min="3" max="3" width="17.140625" style="1" customWidth="1"/>
    <col min="4" max="4" width="22.5703125" style="1" customWidth="1"/>
    <col min="5" max="5" width="21.140625" style="1" customWidth="1"/>
    <col min="6" max="6" width="9.140625" style="1"/>
    <col min="7" max="7" width="21.7109375" style="1" customWidth="1"/>
    <col min="8" max="9" width="19" style="1" customWidth="1"/>
    <col min="10" max="12" width="9.28515625" style="1" bestFit="1" customWidth="1"/>
    <col min="13" max="13" width="16.28515625" style="1" customWidth="1"/>
    <col min="14" max="14" width="13" style="1" bestFit="1" customWidth="1"/>
    <col min="15" max="15" width="19.42578125" style="1" customWidth="1"/>
    <col min="16" max="17" width="12.85546875" style="1" customWidth="1"/>
    <col min="18" max="25" width="9.140625" style="1"/>
    <col min="26" max="26" width="7.42578125" style="1" customWidth="1"/>
    <col min="27" max="27" width="15.7109375" style="1" customWidth="1"/>
    <col min="28" max="28" width="8.42578125" style="1" customWidth="1"/>
    <col min="29" max="29" width="8.5703125" style="1" customWidth="1"/>
    <col min="30" max="30" width="9.140625" style="1"/>
    <col min="31" max="31" width="8.28515625" style="1" customWidth="1"/>
    <col min="32" max="34" width="8.85546875" style="1" customWidth="1"/>
    <col min="35" max="35" width="8.28515625" style="1" customWidth="1"/>
    <col min="36" max="16384" width="9.140625" style="1"/>
  </cols>
  <sheetData>
    <row r="2" spans="2:35" ht="15.75" thickBot="1" x14ac:dyDescent="0.3"/>
    <row r="3" spans="2:35" ht="15.75" thickBot="1" x14ac:dyDescent="0.3">
      <c r="B3" s="26" t="s">
        <v>121</v>
      </c>
      <c r="C3" s="27"/>
      <c r="D3" s="28"/>
      <c r="G3" s="26" t="s">
        <v>208</v>
      </c>
      <c r="H3" s="27"/>
      <c r="I3" s="28"/>
      <c r="J3" s="103"/>
      <c r="O3" s="26" t="s">
        <v>217</v>
      </c>
      <c r="P3" s="28"/>
    </row>
    <row r="5" spans="2:35" x14ac:dyDescent="0.25">
      <c r="B5" s="1" t="s">
        <v>122</v>
      </c>
      <c r="G5" s="1" t="s">
        <v>216</v>
      </c>
      <c r="O5" s="1" t="s">
        <v>258</v>
      </c>
      <c r="Z5" s="276"/>
      <c r="AA5" s="292"/>
      <c r="AB5" s="338" t="s">
        <v>368</v>
      </c>
      <c r="AC5" s="339"/>
      <c r="AD5" s="339"/>
      <c r="AE5" s="340"/>
      <c r="AF5" s="339" t="s">
        <v>621</v>
      </c>
      <c r="AG5" s="339"/>
      <c r="AH5" s="339"/>
      <c r="AI5" s="340"/>
    </row>
    <row r="6" spans="2:35" x14ac:dyDescent="0.25">
      <c r="Z6" s="285"/>
      <c r="AA6" s="293"/>
      <c r="AB6" s="294">
        <v>2007</v>
      </c>
      <c r="AC6" s="286">
        <v>2035</v>
      </c>
      <c r="AD6" s="286" t="s">
        <v>622</v>
      </c>
      <c r="AE6" s="287" t="s">
        <v>623</v>
      </c>
      <c r="AF6" s="286">
        <v>2007</v>
      </c>
      <c r="AG6" s="286">
        <v>2035</v>
      </c>
      <c r="AH6" s="286" t="s">
        <v>622</v>
      </c>
      <c r="AI6" s="287" t="s">
        <v>623</v>
      </c>
    </row>
    <row r="7" spans="2:35" x14ac:dyDescent="0.25">
      <c r="B7" s="37" t="s">
        <v>41</v>
      </c>
      <c r="C7" s="17" t="s">
        <v>42</v>
      </c>
      <c r="D7" s="116"/>
      <c r="E7" s="113" t="s">
        <v>463</v>
      </c>
      <c r="G7" s="45" t="s">
        <v>213</v>
      </c>
      <c r="H7" s="18" t="s">
        <v>214</v>
      </c>
      <c r="I7" s="18" t="s">
        <v>215</v>
      </c>
      <c r="J7" s="18" t="s">
        <v>209</v>
      </c>
      <c r="K7" s="18" t="s">
        <v>210</v>
      </c>
      <c r="L7" s="18" t="s">
        <v>211</v>
      </c>
      <c r="M7" s="46" t="s">
        <v>212</v>
      </c>
      <c r="O7" s="37" t="s">
        <v>41</v>
      </c>
      <c r="P7" s="17" t="s">
        <v>42</v>
      </c>
      <c r="Q7" s="38"/>
      <c r="S7" s="37"/>
      <c r="T7" s="17"/>
      <c r="U7" s="116"/>
      <c r="V7" s="17"/>
      <c r="W7" s="38"/>
      <c r="Z7" s="288" t="s">
        <v>293</v>
      </c>
      <c r="AA7" s="289" t="s">
        <v>594</v>
      </c>
      <c r="AB7" s="295">
        <v>9322</v>
      </c>
      <c r="AC7" s="290">
        <v>10232</v>
      </c>
      <c r="AD7" s="290">
        <v>910</v>
      </c>
      <c r="AE7" s="291">
        <v>9.7618536794679259E-2</v>
      </c>
      <c r="AF7" s="290">
        <v>5394</v>
      </c>
      <c r="AG7" s="290">
        <v>6433</v>
      </c>
      <c r="AH7" s="290">
        <v>1039</v>
      </c>
      <c r="AI7" s="291">
        <v>0.19262143121987393</v>
      </c>
    </row>
    <row r="8" spans="2:35" x14ac:dyDescent="0.25">
      <c r="B8" s="43" t="s">
        <v>5</v>
      </c>
      <c r="C8" s="19" t="s">
        <v>363</v>
      </c>
      <c r="D8" s="19"/>
      <c r="E8" s="104" t="s">
        <v>460</v>
      </c>
      <c r="G8" s="47">
        <v>0.5</v>
      </c>
      <c r="H8" s="20">
        <v>1.5</v>
      </c>
      <c r="I8" s="32">
        <v>2.5</v>
      </c>
      <c r="J8" s="32">
        <v>0.358296</v>
      </c>
      <c r="K8" s="32">
        <v>0.64722800000000003</v>
      </c>
      <c r="L8" s="32">
        <v>0.77486600000000005</v>
      </c>
      <c r="M8" s="67">
        <v>0.72767400000000004</v>
      </c>
      <c r="O8" s="43" t="s">
        <v>48</v>
      </c>
      <c r="P8" s="19" t="s">
        <v>363</v>
      </c>
      <c r="Q8" s="104"/>
      <c r="S8" s="43"/>
      <c r="T8" s="19"/>
      <c r="U8" s="19"/>
      <c r="V8" s="19"/>
      <c r="W8" s="104"/>
      <c r="Z8" s="277"/>
      <c r="AA8" s="278" t="s">
        <v>595</v>
      </c>
      <c r="AB8" s="296">
        <v>11216</v>
      </c>
      <c r="AC8" s="279">
        <v>12845</v>
      </c>
      <c r="AD8" s="279">
        <v>1629</v>
      </c>
      <c r="AE8" s="280">
        <v>0.14523894436519258</v>
      </c>
      <c r="AF8" s="279">
        <v>11318</v>
      </c>
      <c r="AG8" s="279">
        <v>13198</v>
      </c>
      <c r="AH8" s="279">
        <v>1880</v>
      </c>
      <c r="AI8" s="280">
        <v>0.16610708605760735</v>
      </c>
    </row>
    <row r="9" spans="2:35" x14ac:dyDescent="0.25">
      <c r="B9" s="43" t="s">
        <v>123</v>
      </c>
      <c r="C9" s="19" t="s">
        <v>364</v>
      </c>
      <c r="D9" s="19"/>
      <c r="E9" s="104" t="s">
        <v>461</v>
      </c>
      <c r="G9" s="47">
        <v>0.5</v>
      </c>
      <c r="H9" s="20">
        <v>2.5</v>
      </c>
      <c r="I9" s="32">
        <v>4.2</v>
      </c>
      <c r="J9" s="32">
        <v>0.64782200000000001</v>
      </c>
      <c r="K9" s="32">
        <v>0.99306499999999998</v>
      </c>
      <c r="L9" s="32">
        <v>1.4886790000000001</v>
      </c>
      <c r="M9" s="67">
        <v>1.0618300000000001</v>
      </c>
      <c r="O9" s="43" t="s">
        <v>218</v>
      </c>
      <c r="P9" s="19" t="s">
        <v>365</v>
      </c>
      <c r="Q9" s="104"/>
      <c r="S9" s="43"/>
      <c r="T9" s="19"/>
      <c r="U9" s="19"/>
      <c r="V9" s="19"/>
      <c r="W9" s="104"/>
      <c r="Z9" s="277"/>
      <c r="AA9" s="278" t="s">
        <v>596</v>
      </c>
      <c r="AB9" s="296">
        <v>22299</v>
      </c>
      <c r="AC9" s="279">
        <v>24581</v>
      </c>
      <c r="AD9" s="279">
        <v>2282</v>
      </c>
      <c r="AE9" s="280">
        <v>0.10233642764249518</v>
      </c>
      <c r="AF9" s="279">
        <v>21039</v>
      </c>
      <c r="AG9" s="279">
        <v>23821</v>
      </c>
      <c r="AH9" s="279">
        <v>2782</v>
      </c>
      <c r="AI9" s="280">
        <v>0.1322306193260136</v>
      </c>
    </row>
    <row r="10" spans="2:35" x14ac:dyDescent="0.25">
      <c r="B10" s="43" t="s">
        <v>48</v>
      </c>
      <c r="C10" s="19" t="s">
        <v>363</v>
      </c>
      <c r="D10" s="19"/>
      <c r="E10" s="104" t="s">
        <v>461</v>
      </c>
      <c r="G10" s="47">
        <v>0.5</v>
      </c>
      <c r="H10" s="20">
        <v>3.5</v>
      </c>
      <c r="I10" s="32">
        <v>6.2</v>
      </c>
      <c r="J10" s="32">
        <v>1.000272</v>
      </c>
      <c r="K10" s="32">
        <v>0.71909699999999999</v>
      </c>
      <c r="L10" s="32">
        <v>2.8672870000000001</v>
      </c>
      <c r="M10" s="67">
        <v>1.5794170000000001</v>
      </c>
      <c r="O10" s="43" t="s">
        <v>219</v>
      </c>
      <c r="P10" s="19" t="s">
        <v>366</v>
      </c>
      <c r="Q10" s="104"/>
      <c r="S10" s="43"/>
      <c r="T10" s="19"/>
      <c r="U10" s="19"/>
      <c r="V10" s="19"/>
      <c r="W10" s="104"/>
      <c r="Z10" s="277"/>
      <c r="AA10" s="278" t="s">
        <v>597</v>
      </c>
      <c r="AB10" s="296">
        <v>11594</v>
      </c>
      <c r="AC10" s="279">
        <v>11929</v>
      </c>
      <c r="AD10" s="279">
        <v>335</v>
      </c>
      <c r="AE10" s="280">
        <v>2.8894255649473864E-2</v>
      </c>
      <c r="AF10" s="279">
        <v>45091</v>
      </c>
      <c r="AG10" s="279">
        <v>49499</v>
      </c>
      <c r="AH10" s="279">
        <v>4408</v>
      </c>
      <c r="AI10" s="280">
        <v>9.7757867423654388E-2</v>
      </c>
    </row>
    <row r="11" spans="2:35" x14ac:dyDescent="0.25">
      <c r="B11" s="43" t="s">
        <v>124</v>
      </c>
      <c r="C11" s="19" t="s">
        <v>365</v>
      </c>
      <c r="D11" s="19"/>
      <c r="E11" s="104" t="s">
        <v>461</v>
      </c>
      <c r="G11" s="47">
        <v>0.5</v>
      </c>
      <c r="H11" s="20">
        <v>99</v>
      </c>
      <c r="I11" s="32">
        <v>10.220000000000001</v>
      </c>
      <c r="J11" s="32">
        <v>1.332597</v>
      </c>
      <c r="K11" s="32">
        <v>0.86685400000000001</v>
      </c>
      <c r="L11" s="32">
        <v>5.7272420000000004</v>
      </c>
      <c r="M11" s="67">
        <v>2.3900579999999998</v>
      </c>
      <c r="O11" s="43" t="s">
        <v>220</v>
      </c>
      <c r="P11" s="19" t="s">
        <v>430</v>
      </c>
      <c r="Q11" s="104"/>
      <c r="S11" s="43"/>
      <c r="T11" s="19"/>
      <c r="U11" s="19"/>
      <c r="V11" s="19"/>
      <c r="W11" s="104"/>
      <c r="Z11" s="277"/>
      <c r="AA11" s="278" t="s">
        <v>598</v>
      </c>
      <c r="AB11" s="296">
        <v>2484</v>
      </c>
      <c r="AC11" s="279">
        <v>2629</v>
      </c>
      <c r="AD11" s="279">
        <v>145</v>
      </c>
      <c r="AE11" s="280">
        <v>5.8373590982286637E-2</v>
      </c>
      <c r="AF11" s="279">
        <v>1595</v>
      </c>
      <c r="AG11" s="279">
        <v>2453</v>
      </c>
      <c r="AH11" s="279">
        <v>858</v>
      </c>
      <c r="AI11" s="280">
        <v>0.53793103448275859</v>
      </c>
    </row>
    <row r="12" spans="2:35" x14ac:dyDescent="0.25">
      <c r="B12" s="43" t="s">
        <v>160</v>
      </c>
      <c r="C12" s="19" t="s">
        <v>366</v>
      </c>
      <c r="D12" s="19"/>
      <c r="E12" s="104" t="s">
        <v>461</v>
      </c>
      <c r="G12" s="47">
        <v>1.5</v>
      </c>
      <c r="H12" s="20">
        <v>1.5</v>
      </c>
      <c r="I12" s="32">
        <v>3.8</v>
      </c>
      <c r="J12" s="32">
        <v>0.54461099999999996</v>
      </c>
      <c r="K12" s="32">
        <v>0.98378600000000005</v>
      </c>
      <c r="L12" s="32">
        <v>1.177797</v>
      </c>
      <c r="M12" s="67">
        <v>1.1060639999999999</v>
      </c>
      <c r="O12" s="44" t="s">
        <v>221</v>
      </c>
      <c r="P12" s="107" t="s">
        <v>431</v>
      </c>
      <c r="Q12" s="108"/>
      <c r="S12" s="44"/>
      <c r="T12" s="107"/>
      <c r="U12" s="107"/>
      <c r="V12" s="107"/>
      <c r="W12" s="108"/>
      <c r="Z12" s="277"/>
      <c r="AA12" s="278" t="s">
        <v>599</v>
      </c>
      <c r="AB12" s="296">
        <v>701</v>
      </c>
      <c r="AC12" s="279">
        <v>838</v>
      </c>
      <c r="AD12" s="279">
        <v>137</v>
      </c>
      <c r="AE12" s="280">
        <v>0.19543509272467904</v>
      </c>
      <c r="AF12" s="279">
        <v>450</v>
      </c>
      <c r="AG12" s="279">
        <v>474</v>
      </c>
      <c r="AH12" s="279">
        <v>24</v>
      </c>
      <c r="AI12" s="280">
        <v>5.3333333333333337E-2</v>
      </c>
    </row>
    <row r="13" spans="2:35" x14ac:dyDescent="0.25">
      <c r="B13" s="43" t="s">
        <v>161</v>
      </c>
      <c r="C13" s="19" t="s">
        <v>42</v>
      </c>
      <c r="D13" s="19"/>
      <c r="E13" s="104" t="s">
        <v>461</v>
      </c>
      <c r="G13" s="47">
        <v>1.5</v>
      </c>
      <c r="H13" s="20">
        <v>2.5</v>
      </c>
      <c r="I13" s="32">
        <v>7</v>
      </c>
      <c r="J13" s="32">
        <v>1.0797030000000001</v>
      </c>
      <c r="K13" s="32">
        <v>1.6551089999999999</v>
      </c>
      <c r="L13" s="32">
        <v>2.481131</v>
      </c>
      <c r="M13" s="67">
        <v>1.769717</v>
      </c>
      <c r="Z13" s="277"/>
      <c r="AA13" s="278" t="s">
        <v>600</v>
      </c>
      <c r="AB13" s="296">
        <v>7531</v>
      </c>
      <c r="AC13" s="279">
        <v>7507</v>
      </c>
      <c r="AD13" s="279">
        <v>-24</v>
      </c>
      <c r="AE13" s="280">
        <v>-3.1868277785154693E-3</v>
      </c>
      <c r="AF13" s="279">
        <v>8171</v>
      </c>
      <c r="AG13" s="279">
        <v>9017</v>
      </c>
      <c r="AH13" s="279">
        <v>846</v>
      </c>
      <c r="AI13" s="280">
        <v>0.10353689878839799</v>
      </c>
    </row>
    <row r="14" spans="2:35" x14ac:dyDescent="0.25">
      <c r="B14" s="43" t="s">
        <v>162</v>
      </c>
      <c r="C14" s="19" t="s">
        <v>516</v>
      </c>
      <c r="D14" s="19"/>
      <c r="E14" s="104" t="s">
        <v>461</v>
      </c>
      <c r="G14" s="47">
        <v>1.5</v>
      </c>
      <c r="H14" s="20">
        <v>3.5</v>
      </c>
      <c r="I14" s="32">
        <v>10</v>
      </c>
      <c r="J14" s="32">
        <v>1.6133420000000001</v>
      </c>
      <c r="K14" s="32">
        <v>1.159834</v>
      </c>
      <c r="L14" s="32">
        <v>4.6246559999999999</v>
      </c>
      <c r="M14" s="67">
        <v>2.547447</v>
      </c>
      <c r="Z14" s="277"/>
      <c r="AA14" s="278" t="s">
        <v>601</v>
      </c>
      <c r="AB14" s="296">
        <v>1910</v>
      </c>
      <c r="AC14" s="279">
        <v>2157</v>
      </c>
      <c r="AD14" s="279">
        <v>247</v>
      </c>
      <c r="AE14" s="280">
        <v>0.12931937172774868</v>
      </c>
      <c r="AF14" s="279">
        <v>1565</v>
      </c>
      <c r="AG14" s="279">
        <v>1795</v>
      </c>
      <c r="AH14" s="279">
        <v>230</v>
      </c>
      <c r="AI14" s="280">
        <v>0.14696485623003194</v>
      </c>
    </row>
    <row r="15" spans="2:35" x14ac:dyDescent="0.25">
      <c r="B15" s="43" t="s">
        <v>163</v>
      </c>
      <c r="C15" s="19" t="s">
        <v>517</v>
      </c>
      <c r="D15" s="19"/>
      <c r="E15" s="104" t="s">
        <v>461</v>
      </c>
      <c r="G15" s="47">
        <v>1.5</v>
      </c>
      <c r="H15" s="20">
        <v>99</v>
      </c>
      <c r="I15" s="32">
        <v>13</v>
      </c>
      <c r="J15" s="32">
        <v>1.695085</v>
      </c>
      <c r="K15" s="32">
        <v>1.102652</v>
      </c>
      <c r="L15" s="32">
        <v>7.2851419999999996</v>
      </c>
      <c r="M15" s="67">
        <v>3.0401910000000001</v>
      </c>
      <c r="Z15" s="277"/>
      <c r="AA15" s="278" t="s">
        <v>602</v>
      </c>
      <c r="AB15" s="296">
        <v>1939</v>
      </c>
      <c r="AC15" s="279">
        <v>2167</v>
      </c>
      <c r="AD15" s="279">
        <v>228</v>
      </c>
      <c r="AE15" s="280">
        <v>0.11758638473439917</v>
      </c>
      <c r="AF15" s="279">
        <v>647</v>
      </c>
      <c r="AG15" s="279">
        <v>689</v>
      </c>
      <c r="AH15" s="279">
        <v>42</v>
      </c>
      <c r="AI15" s="280">
        <v>6.4914992272024727E-2</v>
      </c>
    </row>
    <row r="16" spans="2:35" x14ac:dyDescent="0.25">
      <c r="B16" s="43" t="s">
        <v>78</v>
      </c>
      <c r="C16" s="1" t="s">
        <v>518</v>
      </c>
      <c r="D16" s="19"/>
      <c r="E16" s="104" t="s">
        <v>461</v>
      </c>
      <c r="G16" s="47">
        <v>2.5</v>
      </c>
      <c r="H16" s="20">
        <v>1.5</v>
      </c>
      <c r="I16" s="32">
        <v>3.9</v>
      </c>
      <c r="J16" s="32">
        <v>0.55894299999999997</v>
      </c>
      <c r="K16" s="32">
        <v>1.0096750000000001</v>
      </c>
      <c r="L16" s="32">
        <v>1.2087920000000001</v>
      </c>
      <c r="M16" s="67">
        <v>1.13517</v>
      </c>
      <c r="Z16" s="277"/>
      <c r="AA16" s="278" t="s">
        <v>603</v>
      </c>
      <c r="AB16" s="296">
        <v>7756</v>
      </c>
      <c r="AC16" s="279">
        <v>9805</v>
      </c>
      <c r="AD16" s="279">
        <v>2049</v>
      </c>
      <c r="AE16" s="280">
        <v>0.2641825683341929</v>
      </c>
      <c r="AF16" s="279">
        <v>5694</v>
      </c>
      <c r="AG16" s="279">
        <v>6419</v>
      </c>
      <c r="AH16" s="279">
        <v>725</v>
      </c>
      <c r="AI16" s="280">
        <v>0.12732701088865472</v>
      </c>
    </row>
    <row r="17" spans="2:35" x14ac:dyDescent="0.25">
      <c r="B17" s="43" t="s">
        <v>125</v>
      </c>
      <c r="C17" s="19" t="s">
        <v>367</v>
      </c>
      <c r="D17" s="19"/>
      <c r="E17" s="104" t="s">
        <v>461</v>
      </c>
      <c r="G17" s="47">
        <v>2.5</v>
      </c>
      <c r="H17" s="20">
        <v>2.5</v>
      </c>
      <c r="I17" s="32">
        <v>7.2</v>
      </c>
      <c r="J17" s="32">
        <v>1.110552</v>
      </c>
      <c r="K17" s="32">
        <v>1.7023969999999999</v>
      </c>
      <c r="L17" s="32">
        <v>2.5520209999999999</v>
      </c>
      <c r="M17" s="67">
        <v>1.8202799999999999</v>
      </c>
      <c r="Z17" s="277"/>
      <c r="AA17" s="278" t="s">
        <v>604</v>
      </c>
      <c r="AB17" s="296">
        <v>13264</v>
      </c>
      <c r="AC17" s="279">
        <v>15065</v>
      </c>
      <c r="AD17" s="279">
        <v>1801</v>
      </c>
      <c r="AE17" s="280">
        <v>0.13578106151990349</v>
      </c>
      <c r="AF17" s="279">
        <v>9244</v>
      </c>
      <c r="AG17" s="279">
        <v>9924</v>
      </c>
      <c r="AH17" s="279">
        <v>680</v>
      </c>
      <c r="AI17" s="280">
        <v>7.3561228905235823E-2</v>
      </c>
    </row>
    <row r="18" spans="2:35" x14ac:dyDescent="0.25">
      <c r="B18" s="43" t="s">
        <v>126</v>
      </c>
      <c r="C18" s="19" t="s">
        <v>368</v>
      </c>
      <c r="D18" s="19"/>
      <c r="E18" s="104" t="s">
        <v>461</v>
      </c>
      <c r="G18" s="47">
        <v>2.5</v>
      </c>
      <c r="H18" s="20">
        <v>3.5</v>
      </c>
      <c r="I18" s="32">
        <v>11</v>
      </c>
      <c r="J18" s="32">
        <v>1.7746759999999999</v>
      </c>
      <c r="K18" s="32">
        <v>1.2758179999999999</v>
      </c>
      <c r="L18" s="32">
        <v>5.0871230000000001</v>
      </c>
      <c r="M18" s="67">
        <v>2.8021929999999999</v>
      </c>
      <c r="Z18" s="277"/>
      <c r="AA18" s="278" t="s">
        <v>605</v>
      </c>
      <c r="AB18" s="296">
        <v>2413</v>
      </c>
      <c r="AC18" s="279">
        <v>2725</v>
      </c>
      <c r="AD18" s="279">
        <v>312</v>
      </c>
      <c r="AE18" s="280">
        <v>0.12929962702030667</v>
      </c>
      <c r="AF18" s="279">
        <v>1312</v>
      </c>
      <c r="AG18" s="279">
        <v>1434</v>
      </c>
      <c r="AH18" s="279">
        <v>122</v>
      </c>
      <c r="AI18" s="280">
        <v>9.298780487804878E-2</v>
      </c>
    </row>
    <row r="19" spans="2:35" x14ac:dyDescent="0.25">
      <c r="B19" s="43" t="s">
        <v>127</v>
      </c>
      <c r="C19" s="19" t="s">
        <v>369</v>
      </c>
      <c r="D19" s="19"/>
      <c r="E19" s="104" t="s">
        <v>461</v>
      </c>
      <c r="G19" s="47">
        <v>2.5</v>
      </c>
      <c r="H19" s="20">
        <v>99</v>
      </c>
      <c r="I19" s="32">
        <v>15</v>
      </c>
      <c r="J19" s="32">
        <v>1.955867</v>
      </c>
      <c r="K19" s="32">
        <v>1.2722910000000001</v>
      </c>
      <c r="L19" s="32">
        <v>8.4059329999999992</v>
      </c>
      <c r="M19" s="67">
        <v>3.5079120000000001</v>
      </c>
      <c r="Z19" s="277"/>
      <c r="AA19" s="278" t="s">
        <v>606</v>
      </c>
      <c r="AB19" s="296">
        <v>8376</v>
      </c>
      <c r="AC19" s="279">
        <v>10445</v>
      </c>
      <c r="AD19" s="279">
        <v>2069</v>
      </c>
      <c r="AE19" s="280">
        <v>0.24701528175740209</v>
      </c>
      <c r="AF19" s="279">
        <v>6447</v>
      </c>
      <c r="AG19" s="279">
        <v>7045</v>
      </c>
      <c r="AH19" s="279">
        <v>598</v>
      </c>
      <c r="AI19" s="280">
        <v>9.2756320769350087E-2</v>
      </c>
    </row>
    <row r="20" spans="2:35" x14ac:dyDescent="0.25">
      <c r="B20" s="43" t="s">
        <v>203</v>
      </c>
      <c r="C20" s="19" t="s">
        <v>370</v>
      </c>
      <c r="D20" s="19"/>
      <c r="E20" s="104" t="s">
        <v>461</v>
      </c>
      <c r="G20" s="47">
        <v>99</v>
      </c>
      <c r="H20" s="20">
        <v>1.5</v>
      </c>
      <c r="I20" s="32">
        <v>4.0999999999999996</v>
      </c>
      <c r="J20" s="32">
        <v>0.58760599999999996</v>
      </c>
      <c r="K20" s="32">
        <v>1.0614539999999999</v>
      </c>
      <c r="L20" s="32">
        <v>1.2707809999999999</v>
      </c>
      <c r="M20" s="67">
        <v>1.1933849999999999</v>
      </c>
      <c r="Z20" s="277"/>
      <c r="AA20" s="278" t="s">
        <v>607</v>
      </c>
      <c r="AB20" s="296">
        <v>288</v>
      </c>
      <c r="AC20" s="279">
        <v>317</v>
      </c>
      <c r="AD20" s="279">
        <v>29</v>
      </c>
      <c r="AE20" s="280">
        <v>0.10069444444444445</v>
      </c>
      <c r="AF20" s="279">
        <v>132</v>
      </c>
      <c r="AG20" s="279">
        <v>144</v>
      </c>
      <c r="AH20" s="279">
        <v>12</v>
      </c>
      <c r="AI20" s="280">
        <v>9.0909090909090912E-2</v>
      </c>
    </row>
    <row r="21" spans="2:35" x14ac:dyDescent="0.25">
      <c r="B21" s="43" t="s">
        <v>144</v>
      </c>
      <c r="C21" s="19" t="s">
        <v>371</v>
      </c>
      <c r="D21" s="19"/>
      <c r="E21" s="104" t="s">
        <v>461</v>
      </c>
      <c r="G21" s="47">
        <v>99</v>
      </c>
      <c r="H21" s="20">
        <v>2.5</v>
      </c>
      <c r="I21" s="32">
        <v>7.4</v>
      </c>
      <c r="J21" s="32">
        <v>1.1414</v>
      </c>
      <c r="K21" s="32">
        <v>1.7496860000000001</v>
      </c>
      <c r="L21" s="32">
        <v>2.6229100000000001</v>
      </c>
      <c r="M21" s="67">
        <v>1.870843</v>
      </c>
      <c r="Z21" s="277"/>
      <c r="AA21" s="278" t="s">
        <v>608</v>
      </c>
      <c r="AB21" s="296">
        <v>903</v>
      </c>
      <c r="AC21" s="279">
        <v>1045</v>
      </c>
      <c r="AD21" s="279">
        <v>142</v>
      </c>
      <c r="AE21" s="280">
        <v>0.15725359911406422</v>
      </c>
      <c r="AF21" s="279">
        <v>145</v>
      </c>
      <c r="AG21" s="279">
        <v>152</v>
      </c>
      <c r="AH21" s="279">
        <v>7</v>
      </c>
      <c r="AI21" s="280">
        <v>4.8275862068965517E-2</v>
      </c>
    </row>
    <row r="22" spans="2:35" x14ac:dyDescent="0.25">
      <c r="B22" s="43" t="s">
        <v>145</v>
      </c>
      <c r="C22" s="19" t="s">
        <v>372</v>
      </c>
      <c r="D22" s="19"/>
      <c r="E22" s="104" t="s">
        <v>461</v>
      </c>
      <c r="G22" s="47">
        <v>99</v>
      </c>
      <c r="H22" s="20">
        <v>3.5</v>
      </c>
      <c r="I22" s="32">
        <v>11.2</v>
      </c>
      <c r="J22" s="32">
        <v>1.806943</v>
      </c>
      <c r="K22" s="32">
        <v>1.2990139999999999</v>
      </c>
      <c r="L22" s="32">
        <v>5.1796150000000001</v>
      </c>
      <c r="M22" s="67">
        <v>2.8531409999999999</v>
      </c>
      <c r="Z22" s="277"/>
      <c r="AA22" s="278" t="s">
        <v>609</v>
      </c>
      <c r="AB22" s="296">
        <v>2271</v>
      </c>
      <c r="AC22" s="279">
        <v>2608</v>
      </c>
      <c r="AD22" s="279">
        <v>337</v>
      </c>
      <c r="AE22" s="280">
        <v>0.14839277851166888</v>
      </c>
      <c r="AF22" s="279">
        <v>470</v>
      </c>
      <c r="AG22" s="279">
        <v>505</v>
      </c>
      <c r="AH22" s="279">
        <v>35</v>
      </c>
      <c r="AI22" s="280">
        <v>7.4468085106382975E-2</v>
      </c>
    </row>
    <row r="23" spans="2:35" x14ac:dyDescent="0.25">
      <c r="B23" s="43" t="s">
        <v>146</v>
      </c>
      <c r="C23" s="19" t="s">
        <v>373</v>
      </c>
      <c r="D23" s="19"/>
      <c r="E23" s="104" t="s">
        <v>461</v>
      </c>
      <c r="G23" s="49">
        <v>99</v>
      </c>
      <c r="H23" s="50">
        <v>99</v>
      </c>
      <c r="I23" s="34">
        <v>16</v>
      </c>
      <c r="J23" s="34">
        <v>2.0862590000000001</v>
      </c>
      <c r="K23" s="34">
        <v>1.3571089999999999</v>
      </c>
      <c r="L23" s="34">
        <v>8.9663280000000007</v>
      </c>
      <c r="M23" s="68">
        <v>3.7417729999999998</v>
      </c>
      <c r="R23" s="1" t="s">
        <v>584</v>
      </c>
      <c r="Z23" s="277"/>
      <c r="AA23" s="278" t="s">
        <v>610</v>
      </c>
      <c r="AB23" s="296">
        <v>14082</v>
      </c>
      <c r="AC23" s="279">
        <v>14262</v>
      </c>
      <c r="AD23" s="279">
        <v>180</v>
      </c>
      <c r="AE23" s="280">
        <v>1.278227524499361E-2</v>
      </c>
      <c r="AF23" s="279">
        <v>20815</v>
      </c>
      <c r="AG23" s="279">
        <v>22056</v>
      </c>
      <c r="AH23" s="279">
        <v>1241</v>
      </c>
      <c r="AI23" s="280">
        <v>5.9620466010088878E-2</v>
      </c>
    </row>
    <row r="24" spans="2:35" x14ac:dyDescent="0.25">
      <c r="B24" s="43" t="s">
        <v>147</v>
      </c>
      <c r="C24" s="19" t="s">
        <v>374</v>
      </c>
      <c r="D24" s="19"/>
      <c r="E24" s="104" t="s">
        <v>461</v>
      </c>
      <c r="Z24" s="277"/>
      <c r="AA24" s="278" t="s">
        <v>611</v>
      </c>
      <c r="AB24" s="296">
        <v>1031</v>
      </c>
      <c r="AC24" s="279">
        <v>1112</v>
      </c>
      <c r="AD24" s="279">
        <v>81</v>
      </c>
      <c r="AE24" s="280">
        <v>7.8564500484966049E-2</v>
      </c>
      <c r="AF24" s="279">
        <v>886</v>
      </c>
      <c r="AG24" s="279">
        <v>940</v>
      </c>
      <c r="AH24" s="279">
        <v>54</v>
      </c>
      <c r="AI24" s="280">
        <v>6.0948081264108354E-2</v>
      </c>
    </row>
    <row r="25" spans="2:35" x14ac:dyDescent="0.25">
      <c r="B25" s="43" t="s">
        <v>148</v>
      </c>
      <c r="C25" s="19" t="s">
        <v>375</v>
      </c>
      <c r="D25" s="19"/>
      <c r="E25" s="104" t="s">
        <v>461</v>
      </c>
      <c r="R25" s="73"/>
      <c r="S25" s="341" t="s">
        <v>271</v>
      </c>
      <c r="T25" s="341"/>
      <c r="U25" s="341"/>
      <c r="V25" s="341"/>
      <c r="Z25" s="277"/>
      <c r="AA25" s="278" t="s">
        <v>612</v>
      </c>
      <c r="AB25" s="296">
        <v>3227</v>
      </c>
      <c r="AC25" s="279">
        <v>3271</v>
      </c>
      <c r="AD25" s="279">
        <v>44</v>
      </c>
      <c r="AE25" s="280">
        <v>1.3634955066625348E-2</v>
      </c>
      <c r="AF25" s="279">
        <v>4533</v>
      </c>
      <c r="AG25" s="279">
        <v>5014</v>
      </c>
      <c r="AH25" s="279">
        <v>481</v>
      </c>
      <c r="AI25" s="280">
        <v>0.10611074343701743</v>
      </c>
    </row>
    <row r="26" spans="2:35" x14ac:dyDescent="0.25">
      <c r="B26" s="43" t="s">
        <v>149</v>
      </c>
      <c r="C26" s="19" t="s">
        <v>376</v>
      </c>
      <c r="D26" s="19"/>
      <c r="E26" s="104" t="s">
        <v>461</v>
      </c>
      <c r="R26" s="141" t="s">
        <v>272</v>
      </c>
      <c r="S26" s="93">
        <v>0</v>
      </c>
      <c r="T26" s="94">
        <v>1</v>
      </c>
      <c r="U26" s="94">
        <v>2</v>
      </c>
      <c r="V26" s="95" t="s">
        <v>259</v>
      </c>
      <c r="Z26" s="277"/>
      <c r="AA26" s="278" t="s">
        <v>613</v>
      </c>
      <c r="AB26" s="296">
        <v>749</v>
      </c>
      <c r="AC26" s="279">
        <v>808</v>
      </c>
      <c r="AD26" s="279">
        <v>59</v>
      </c>
      <c r="AE26" s="280">
        <v>7.8771695594125501E-2</v>
      </c>
      <c r="AF26" s="279">
        <v>37</v>
      </c>
      <c r="AG26" s="279">
        <v>52</v>
      </c>
      <c r="AH26" s="279">
        <v>15</v>
      </c>
      <c r="AI26" s="280">
        <v>0.40540540540540543</v>
      </c>
    </row>
    <row r="27" spans="2:35" x14ac:dyDescent="0.25">
      <c r="B27" s="43" t="s">
        <v>150</v>
      </c>
      <c r="C27" s="19" t="s">
        <v>377</v>
      </c>
      <c r="D27" s="19"/>
      <c r="E27" s="104" t="s">
        <v>461</v>
      </c>
      <c r="G27" s="37" t="s">
        <v>41</v>
      </c>
      <c r="H27" s="17" t="s">
        <v>42</v>
      </c>
      <c r="I27" s="38"/>
      <c r="M27" s="16"/>
      <c r="R27" s="96">
        <v>1</v>
      </c>
      <c r="S27" s="76">
        <v>1.59</v>
      </c>
      <c r="T27" s="77">
        <v>4</v>
      </c>
      <c r="U27" s="77">
        <v>3.44</v>
      </c>
      <c r="V27" s="78">
        <v>3.67</v>
      </c>
      <c r="Z27" s="277"/>
      <c r="AA27" s="278" t="s">
        <v>614</v>
      </c>
      <c r="AB27" s="296">
        <v>1084</v>
      </c>
      <c r="AC27" s="279">
        <v>1313</v>
      </c>
      <c r="AD27" s="279">
        <v>229</v>
      </c>
      <c r="AE27" s="280">
        <v>0.21125461254612546</v>
      </c>
      <c r="AF27" s="279">
        <v>25</v>
      </c>
      <c r="AG27" s="279">
        <v>174</v>
      </c>
      <c r="AH27" s="279">
        <v>149</v>
      </c>
      <c r="AI27" s="280">
        <v>5.96</v>
      </c>
    </row>
    <row r="28" spans="2:35" x14ac:dyDescent="0.25">
      <c r="B28" s="43" t="s">
        <v>151</v>
      </c>
      <c r="C28" s="19" t="s">
        <v>378</v>
      </c>
      <c r="D28" s="19"/>
      <c r="E28" s="104" t="s">
        <v>461</v>
      </c>
      <c r="G28" s="43" t="s">
        <v>213</v>
      </c>
      <c r="H28" s="19" t="s">
        <v>423</v>
      </c>
      <c r="I28" s="104"/>
      <c r="R28" s="97">
        <v>2</v>
      </c>
      <c r="S28" s="79">
        <v>4.34</v>
      </c>
      <c r="T28" s="80">
        <v>7.15</v>
      </c>
      <c r="U28" s="80">
        <v>7.66</v>
      </c>
      <c r="V28" s="81">
        <v>7.31</v>
      </c>
      <c r="Z28" s="277"/>
      <c r="AA28" s="278" t="s">
        <v>81</v>
      </c>
      <c r="AB28" s="296">
        <v>64417</v>
      </c>
      <c r="AC28" s="279">
        <v>58681</v>
      </c>
      <c r="AD28" s="279">
        <v>-5736</v>
      </c>
      <c r="AE28" s="280">
        <v>-8.9044817361876527E-2</v>
      </c>
      <c r="AF28" s="279">
        <v>103197</v>
      </c>
      <c r="AG28" s="279">
        <v>116443</v>
      </c>
      <c r="AH28" s="279">
        <v>13246</v>
      </c>
      <c r="AI28" s="280">
        <v>0.12835644447028499</v>
      </c>
    </row>
    <row r="29" spans="2:35" x14ac:dyDescent="0.25">
      <c r="B29" s="43" t="s">
        <v>152</v>
      </c>
      <c r="C29" s="19" t="s">
        <v>379</v>
      </c>
      <c r="D29" s="19"/>
      <c r="E29" s="104" t="s">
        <v>461</v>
      </c>
      <c r="G29" s="43" t="s">
        <v>214</v>
      </c>
      <c r="H29" s="19" t="s">
        <v>424</v>
      </c>
      <c r="I29" s="104"/>
      <c r="R29" s="97">
        <v>3</v>
      </c>
      <c r="S29" s="79">
        <v>6.2</v>
      </c>
      <c r="T29" s="80">
        <v>12</v>
      </c>
      <c r="U29" s="80">
        <v>10.18</v>
      </c>
      <c r="V29" s="81">
        <v>8.59</v>
      </c>
      <c r="Z29" s="277"/>
      <c r="AA29" s="278" t="s">
        <v>615</v>
      </c>
      <c r="AB29" s="296">
        <v>1116</v>
      </c>
      <c r="AC29" s="279">
        <v>1246</v>
      </c>
      <c r="AD29" s="279">
        <v>130</v>
      </c>
      <c r="AE29" s="280">
        <v>0.11648745519713262</v>
      </c>
      <c r="AF29" s="279">
        <v>1293</v>
      </c>
      <c r="AG29" s="279">
        <v>1305</v>
      </c>
      <c r="AH29" s="279">
        <v>12</v>
      </c>
      <c r="AI29" s="280">
        <v>9.2807424593967514E-3</v>
      </c>
    </row>
    <row r="30" spans="2:35" x14ac:dyDescent="0.25">
      <c r="B30" s="43" t="s">
        <v>153</v>
      </c>
      <c r="C30" s="19" t="s">
        <v>380</v>
      </c>
      <c r="D30" s="19"/>
      <c r="E30" s="104" t="s">
        <v>461</v>
      </c>
      <c r="G30" s="43" t="s">
        <v>215</v>
      </c>
      <c r="H30" s="19" t="s">
        <v>425</v>
      </c>
      <c r="I30" s="104"/>
      <c r="R30" s="98" t="s">
        <v>264</v>
      </c>
      <c r="S30" s="82">
        <v>10.220000000000001</v>
      </c>
      <c r="T30" s="83">
        <v>12.89</v>
      </c>
      <c r="U30" s="83">
        <v>17.11</v>
      </c>
      <c r="V30" s="84">
        <v>15.95</v>
      </c>
      <c r="Z30" s="277"/>
      <c r="AA30" s="278" t="s">
        <v>616</v>
      </c>
      <c r="AB30" s="296">
        <v>5248</v>
      </c>
      <c r="AC30" s="279">
        <v>5767</v>
      </c>
      <c r="AD30" s="279">
        <v>519</v>
      </c>
      <c r="AE30" s="280">
        <v>9.8894817073170729E-2</v>
      </c>
      <c r="AF30" s="279">
        <v>3253</v>
      </c>
      <c r="AG30" s="279">
        <v>3767</v>
      </c>
      <c r="AH30" s="279">
        <v>514</v>
      </c>
      <c r="AI30" s="280">
        <v>0.15800799262219489</v>
      </c>
    </row>
    <row r="31" spans="2:35" x14ac:dyDescent="0.25">
      <c r="B31" s="43" t="s">
        <v>154</v>
      </c>
      <c r="C31" s="19" t="s">
        <v>381</v>
      </c>
      <c r="D31" s="19"/>
      <c r="E31" s="104" t="s">
        <v>461</v>
      </c>
      <c r="G31" s="43" t="s">
        <v>209</v>
      </c>
      <c r="H31" s="19" t="s">
        <v>426</v>
      </c>
      <c r="I31" s="104"/>
      <c r="Z31" s="281"/>
      <c r="AA31" s="282" t="s">
        <v>617</v>
      </c>
      <c r="AB31" s="297">
        <v>119</v>
      </c>
      <c r="AC31" s="283">
        <v>130</v>
      </c>
      <c r="AD31" s="283">
        <v>11</v>
      </c>
      <c r="AE31" s="284">
        <v>9.2436974789915971E-2</v>
      </c>
      <c r="AF31" s="283">
        <v>0</v>
      </c>
      <c r="AG31" s="283">
        <v>0</v>
      </c>
      <c r="AH31" s="283">
        <v>0</v>
      </c>
      <c r="AI31" s="284">
        <v>0</v>
      </c>
    </row>
    <row r="32" spans="2:35" x14ac:dyDescent="0.25">
      <c r="B32" s="43" t="s">
        <v>155</v>
      </c>
      <c r="C32" s="19" t="s">
        <v>382</v>
      </c>
      <c r="D32" s="19"/>
      <c r="E32" s="104" t="s">
        <v>461</v>
      </c>
      <c r="G32" s="43" t="s">
        <v>210</v>
      </c>
      <c r="H32" s="19" t="s">
        <v>427</v>
      </c>
      <c r="I32" s="104"/>
      <c r="Z32" s="277" t="s">
        <v>292</v>
      </c>
      <c r="AA32" s="278" t="s">
        <v>606</v>
      </c>
      <c r="AB32" s="296">
        <v>191196</v>
      </c>
      <c r="AC32" s="279">
        <v>198773</v>
      </c>
      <c r="AD32" s="279">
        <v>7577</v>
      </c>
      <c r="AE32" s="280">
        <v>3.9629490156697839E-2</v>
      </c>
      <c r="AF32" s="279">
        <v>250277</v>
      </c>
      <c r="AG32" s="279">
        <v>279844</v>
      </c>
      <c r="AH32" s="279">
        <v>29567</v>
      </c>
      <c r="AI32" s="280">
        <v>0.11813710408866976</v>
      </c>
    </row>
    <row r="33" spans="2:35" x14ac:dyDescent="0.25">
      <c r="B33" s="43" t="s">
        <v>156</v>
      </c>
      <c r="C33" s="19" t="s">
        <v>383</v>
      </c>
      <c r="D33" s="19"/>
      <c r="E33" s="104" t="s">
        <v>461</v>
      </c>
      <c r="G33" s="43" t="s">
        <v>211</v>
      </c>
      <c r="H33" s="19" t="s">
        <v>428</v>
      </c>
      <c r="I33" s="104"/>
      <c r="R33" s="1" t="s">
        <v>583</v>
      </c>
      <c r="Z33" s="277"/>
      <c r="AA33" s="278" t="s">
        <v>618</v>
      </c>
      <c r="AB33" s="296">
        <v>1084</v>
      </c>
      <c r="AC33" s="279">
        <v>1313</v>
      </c>
      <c r="AD33" s="279">
        <v>229</v>
      </c>
      <c r="AE33" s="280">
        <v>0.21125461254612546</v>
      </c>
      <c r="AF33" s="279">
        <v>25</v>
      </c>
      <c r="AG33" s="279">
        <v>174</v>
      </c>
      <c r="AH33" s="279">
        <v>149</v>
      </c>
      <c r="AI33" s="280">
        <v>5.96</v>
      </c>
    </row>
    <row r="34" spans="2:35" ht="15.75" thickBot="1" x14ac:dyDescent="0.3">
      <c r="B34" s="43" t="s">
        <v>157</v>
      </c>
      <c r="C34" s="19" t="s">
        <v>384</v>
      </c>
      <c r="D34" s="19"/>
      <c r="E34" s="104" t="s">
        <v>461</v>
      </c>
      <c r="G34" s="44" t="s">
        <v>212</v>
      </c>
      <c r="H34" s="107" t="s">
        <v>429</v>
      </c>
      <c r="I34" s="108"/>
      <c r="Z34" s="281"/>
      <c r="AA34" s="282" t="s">
        <v>619</v>
      </c>
      <c r="AB34" s="297">
        <v>3060</v>
      </c>
      <c r="AC34" s="283">
        <v>3399</v>
      </c>
      <c r="AD34" s="283">
        <v>339</v>
      </c>
      <c r="AE34" s="284">
        <v>0.11078431372549019</v>
      </c>
      <c r="AF34" s="283">
        <v>2451</v>
      </c>
      <c r="AG34" s="283">
        <v>2735</v>
      </c>
      <c r="AH34" s="283">
        <v>284</v>
      </c>
      <c r="AI34" s="284">
        <v>0.11587107303141575</v>
      </c>
    </row>
    <row r="35" spans="2:35" ht="16.5" thickTop="1" thickBot="1" x14ac:dyDescent="0.3">
      <c r="B35" s="43" t="s">
        <v>158</v>
      </c>
      <c r="C35" s="19" t="s">
        <v>385</v>
      </c>
      <c r="D35" s="19"/>
      <c r="E35" s="104" t="s">
        <v>461</v>
      </c>
      <c r="R35" s="244"/>
      <c r="S35" s="245"/>
      <c r="T35" s="246">
        <v>0</v>
      </c>
      <c r="U35" s="246">
        <v>1</v>
      </c>
      <c r="V35" s="246">
        <v>2</v>
      </c>
      <c r="W35" s="247">
        <v>3</v>
      </c>
      <c r="Z35" s="281" t="s">
        <v>620</v>
      </c>
      <c r="AA35" s="282"/>
      <c r="AB35" s="297">
        <v>195340</v>
      </c>
      <c r="AC35" s="283">
        <v>203485</v>
      </c>
      <c r="AD35" s="283">
        <v>8145</v>
      </c>
      <c r="AE35" s="284">
        <v>4.169652912869868E-2</v>
      </c>
      <c r="AF35" s="283">
        <v>252753</v>
      </c>
      <c r="AG35" s="283">
        <v>282753</v>
      </c>
      <c r="AH35" s="283">
        <v>30000</v>
      </c>
      <c r="AI35" s="284">
        <v>0.11869295319936855</v>
      </c>
    </row>
    <row r="36" spans="2:35" ht="15.75" thickBot="1" x14ac:dyDescent="0.3">
      <c r="B36" s="43" t="s">
        <v>159</v>
      </c>
      <c r="C36" s="19" t="s">
        <v>386</v>
      </c>
      <c r="D36" s="19"/>
      <c r="E36" s="104" t="s">
        <v>461</v>
      </c>
      <c r="R36" s="248"/>
      <c r="S36" s="249"/>
      <c r="T36" s="250" t="s">
        <v>581</v>
      </c>
      <c r="U36" s="251" t="s">
        <v>581</v>
      </c>
      <c r="V36" s="251" t="s">
        <v>581</v>
      </c>
      <c r="W36" s="252" t="s">
        <v>581</v>
      </c>
    </row>
    <row r="37" spans="2:35" ht="15.75" thickTop="1" x14ac:dyDescent="0.25">
      <c r="B37" s="43" t="s">
        <v>128</v>
      </c>
      <c r="C37" s="19" t="s">
        <v>387</v>
      </c>
      <c r="D37" s="19"/>
      <c r="E37" s="104" t="s">
        <v>462</v>
      </c>
      <c r="R37" s="253">
        <v>1</v>
      </c>
      <c r="S37" s="254" t="s">
        <v>582</v>
      </c>
      <c r="T37" s="255">
        <v>3.38</v>
      </c>
      <c r="U37" s="255">
        <v>4.51</v>
      </c>
      <c r="V37" s="255">
        <v>3.86</v>
      </c>
      <c r="W37" s="256">
        <v>6</v>
      </c>
    </row>
    <row r="38" spans="2:35" x14ac:dyDescent="0.25">
      <c r="B38" s="43" t="s">
        <v>129</v>
      </c>
      <c r="C38" s="19" t="s">
        <v>388</v>
      </c>
      <c r="D38" s="19"/>
      <c r="E38" s="104" t="s">
        <v>462</v>
      </c>
      <c r="G38" s="45" t="s">
        <v>213</v>
      </c>
      <c r="H38" s="18" t="s">
        <v>214</v>
      </c>
      <c r="I38" s="18" t="s">
        <v>260</v>
      </c>
      <c r="J38" s="18" t="s">
        <v>261</v>
      </c>
      <c r="K38" s="18" t="s">
        <v>262</v>
      </c>
      <c r="L38" s="18" t="s">
        <v>263</v>
      </c>
      <c r="M38" s="46" t="s">
        <v>174</v>
      </c>
      <c r="R38" s="253">
        <v>2</v>
      </c>
      <c r="S38" s="254" t="s">
        <v>582</v>
      </c>
      <c r="T38" s="255">
        <v>4.5</v>
      </c>
      <c r="U38" s="255">
        <v>6.81</v>
      </c>
      <c r="V38" s="255">
        <v>7.16</v>
      </c>
      <c r="W38" s="256">
        <v>7.83</v>
      </c>
    </row>
    <row r="39" spans="2:35" x14ac:dyDescent="0.25">
      <c r="B39" s="43" t="s">
        <v>130</v>
      </c>
      <c r="C39" s="19" t="s">
        <v>389</v>
      </c>
      <c r="D39" s="19"/>
      <c r="E39" s="104" t="s">
        <v>462</v>
      </c>
      <c r="G39" s="332">
        <v>0</v>
      </c>
      <c r="H39" s="29">
        <v>1</v>
      </c>
      <c r="I39" s="30">
        <v>0.358296</v>
      </c>
      <c r="J39" s="30">
        <v>0.64722800000000003</v>
      </c>
      <c r="K39" s="30">
        <v>0.77486600000000005</v>
      </c>
      <c r="L39" s="30">
        <v>0.72767400000000004</v>
      </c>
      <c r="M39" s="69">
        <v>2.5</v>
      </c>
      <c r="R39" s="253">
        <v>3</v>
      </c>
      <c r="S39" s="254" t="s">
        <v>582</v>
      </c>
      <c r="T39" s="255">
        <v>7</v>
      </c>
      <c r="U39" s="255">
        <v>9.68</v>
      </c>
      <c r="V39" s="255">
        <v>11.2</v>
      </c>
      <c r="W39" s="256">
        <v>12.56</v>
      </c>
    </row>
    <row r="40" spans="2:35" ht="15.75" thickBot="1" x14ac:dyDescent="0.3">
      <c r="B40" s="43" t="s">
        <v>131</v>
      </c>
      <c r="C40" s="19" t="s">
        <v>390</v>
      </c>
      <c r="D40" s="19"/>
      <c r="E40" s="104" t="s">
        <v>462</v>
      </c>
      <c r="G40" s="333"/>
      <c r="H40" s="31">
        <v>2</v>
      </c>
      <c r="I40" s="32">
        <v>0.64782200000000001</v>
      </c>
      <c r="J40" s="32">
        <v>0.99306499999999998</v>
      </c>
      <c r="K40" s="32">
        <v>1.4886790000000001</v>
      </c>
      <c r="L40" s="32">
        <v>1.0618300000000001</v>
      </c>
      <c r="M40" s="67">
        <v>4.2</v>
      </c>
      <c r="R40" s="257">
        <v>4</v>
      </c>
      <c r="S40" s="258" t="s">
        <v>582</v>
      </c>
      <c r="T40" s="259">
        <v>10.75</v>
      </c>
      <c r="U40" s="259">
        <v>13.15</v>
      </c>
      <c r="V40" s="259">
        <v>13.76</v>
      </c>
      <c r="W40" s="260">
        <v>15.37</v>
      </c>
    </row>
    <row r="41" spans="2:35" ht="15.75" thickTop="1" x14ac:dyDescent="0.25">
      <c r="B41" s="43" t="s">
        <v>132</v>
      </c>
      <c r="C41" s="19" t="s">
        <v>391</v>
      </c>
      <c r="D41" s="19"/>
      <c r="E41" s="104" t="s">
        <v>462</v>
      </c>
      <c r="G41" s="333"/>
      <c r="H41" s="31">
        <v>3</v>
      </c>
      <c r="I41" s="32">
        <v>1.000272</v>
      </c>
      <c r="J41" s="32">
        <v>0.71909699999999999</v>
      </c>
      <c r="K41" s="32">
        <v>2.8672870000000001</v>
      </c>
      <c r="L41" s="32">
        <v>1.5794170000000001</v>
      </c>
      <c r="M41" s="67">
        <v>6.2</v>
      </c>
    </row>
    <row r="42" spans="2:35" x14ac:dyDescent="0.25">
      <c r="B42" s="43" t="s">
        <v>133</v>
      </c>
      <c r="C42" s="19" t="s">
        <v>392</v>
      </c>
      <c r="D42" s="19"/>
      <c r="E42" s="104" t="s">
        <v>462</v>
      </c>
      <c r="G42" s="334"/>
      <c r="H42" s="33" t="s">
        <v>264</v>
      </c>
      <c r="I42" s="34">
        <v>1.332597</v>
      </c>
      <c r="J42" s="34">
        <v>0.86685400000000001</v>
      </c>
      <c r="K42" s="34">
        <v>5.7272420000000004</v>
      </c>
      <c r="L42" s="34">
        <v>2.3900579999999998</v>
      </c>
      <c r="M42" s="68">
        <v>10.220000000000001</v>
      </c>
    </row>
    <row r="43" spans="2:35" x14ac:dyDescent="0.25">
      <c r="B43" s="43" t="s">
        <v>134</v>
      </c>
      <c r="C43" s="19" t="s">
        <v>393</v>
      </c>
      <c r="D43" s="19"/>
      <c r="E43" s="104" t="s">
        <v>462</v>
      </c>
      <c r="G43" s="332">
        <v>1</v>
      </c>
      <c r="H43" s="29">
        <v>1</v>
      </c>
      <c r="I43" s="30">
        <v>0.54461099999999996</v>
      </c>
      <c r="J43" s="30">
        <v>0.98378600000000005</v>
      </c>
      <c r="K43" s="30">
        <v>1.177797</v>
      </c>
      <c r="L43" s="30">
        <v>1.1060639999999999</v>
      </c>
      <c r="M43" s="69">
        <v>3.8</v>
      </c>
      <c r="R43" s="1" t="s">
        <v>583</v>
      </c>
    </row>
    <row r="44" spans="2:35" x14ac:dyDescent="0.25">
      <c r="B44" s="43" t="s">
        <v>135</v>
      </c>
      <c r="C44" s="19" t="s">
        <v>394</v>
      </c>
      <c r="D44" s="19"/>
      <c r="E44" s="104" t="s">
        <v>462</v>
      </c>
      <c r="G44" s="333"/>
      <c r="H44" s="31">
        <v>2</v>
      </c>
      <c r="I44" s="32">
        <v>1.0797030000000001</v>
      </c>
      <c r="J44" s="32">
        <v>1.6551089999999999</v>
      </c>
      <c r="K44" s="32">
        <v>2.481131</v>
      </c>
      <c r="L44" s="32">
        <v>1.769717</v>
      </c>
      <c r="M44" s="67">
        <v>7</v>
      </c>
      <c r="R44" s="73"/>
      <c r="S44" s="341" t="s">
        <v>271</v>
      </c>
      <c r="T44" s="341"/>
      <c r="U44" s="341"/>
      <c r="V44" s="341"/>
    </row>
    <row r="45" spans="2:35" x14ac:dyDescent="0.25">
      <c r="B45" s="43" t="s">
        <v>204</v>
      </c>
      <c r="C45" s="19" t="s">
        <v>395</v>
      </c>
      <c r="D45" s="19"/>
      <c r="E45" s="104" t="s">
        <v>461</v>
      </c>
      <c r="G45" s="333"/>
      <c r="H45" s="31">
        <v>3</v>
      </c>
      <c r="I45" s="32">
        <v>1.6133420000000001</v>
      </c>
      <c r="J45" s="32">
        <v>1.159834</v>
      </c>
      <c r="K45" s="32">
        <v>4.6246559999999999</v>
      </c>
      <c r="L45" s="32">
        <v>2.547447</v>
      </c>
      <c r="M45" s="67">
        <v>10</v>
      </c>
      <c r="R45" s="141" t="s">
        <v>272</v>
      </c>
      <c r="S45" s="93">
        <v>0</v>
      </c>
      <c r="T45" s="94">
        <v>1</v>
      </c>
      <c r="U45" s="94">
        <v>2</v>
      </c>
      <c r="V45" s="95" t="s">
        <v>259</v>
      </c>
    </row>
    <row r="46" spans="2:35" x14ac:dyDescent="0.25">
      <c r="B46" s="43" t="s">
        <v>396</v>
      </c>
      <c r="C46" s="19" t="s">
        <v>397</v>
      </c>
      <c r="D46" s="19"/>
      <c r="E46" s="104" t="s">
        <v>462</v>
      </c>
      <c r="G46" s="334"/>
      <c r="H46" s="33" t="s">
        <v>264</v>
      </c>
      <c r="I46" s="34">
        <v>1.695085</v>
      </c>
      <c r="J46" s="34">
        <v>1.102652</v>
      </c>
      <c r="K46" s="34">
        <v>7.2851419999999996</v>
      </c>
      <c r="L46" s="34">
        <v>3.0401910000000001</v>
      </c>
      <c r="M46" s="68">
        <v>13</v>
      </c>
      <c r="R46" s="96">
        <v>1</v>
      </c>
      <c r="S46" s="76">
        <v>3.38</v>
      </c>
      <c r="T46" s="77">
        <v>4.51</v>
      </c>
      <c r="U46" s="77">
        <v>3.86</v>
      </c>
      <c r="V46" s="78">
        <v>6</v>
      </c>
    </row>
    <row r="47" spans="2:35" x14ac:dyDescent="0.25">
      <c r="B47" s="43" t="s">
        <v>205</v>
      </c>
      <c r="C47" s="19" t="s">
        <v>398</v>
      </c>
      <c r="D47" s="19"/>
      <c r="E47" s="104" t="s">
        <v>462</v>
      </c>
      <c r="G47" s="332">
        <v>2</v>
      </c>
      <c r="H47" s="29">
        <v>1</v>
      </c>
      <c r="I47" s="30">
        <v>0.55894299999999997</v>
      </c>
      <c r="J47" s="30">
        <v>1.0096750000000001</v>
      </c>
      <c r="K47" s="30">
        <v>1.2087920000000001</v>
      </c>
      <c r="L47" s="30">
        <v>1.13517</v>
      </c>
      <c r="M47" s="69">
        <v>3.9</v>
      </c>
      <c r="R47" s="97">
        <v>2</v>
      </c>
      <c r="S47" s="79">
        <v>4.5</v>
      </c>
      <c r="T47" s="80">
        <v>6.81</v>
      </c>
      <c r="U47" s="80">
        <v>7.16</v>
      </c>
      <c r="V47" s="81">
        <v>7.83</v>
      </c>
    </row>
    <row r="48" spans="2:35" x14ac:dyDescent="0.25">
      <c r="B48" s="43" t="s">
        <v>202</v>
      </c>
      <c r="C48" s="19" t="s">
        <v>399</v>
      </c>
      <c r="D48" s="19"/>
      <c r="E48" s="104" t="s">
        <v>462</v>
      </c>
      <c r="G48" s="333"/>
      <c r="H48" s="31">
        <v>2</v>
      </c>
      <c r="I48" s="32">
        <v>1.110552</v>
      </c>
      <c r="J48" s="32">
        <v>1.7023969999999999</v>
      </c>
      <c r="K48" s="32">
        <v>2.5520209999999999</v>
      </c>
      <c r="L48" s="32">
        <v>1.8202799999999999</v>
      </c>
      <c r="M48" s="67">
        <v>7.2</v>
      </c>
      <c r="R48" s="97">
        <v>3</v>
      </c>
      <c r="S48" s="79">
        <v>7</v>
      </c>
      <c r="T48" s="80">
        <v>9.68</v>
      </c>
      <c r="U48" s="80">
        <v>11.2</v>
      </c>
      <c r="V48" s="81">
        <v>12.56</v>
      </c>
    </row>
    <row r="49" spans="2:22" x14ac:dyDescent="0.25">
      <c r="B49" s="43" t="s">
        <v>206</v>
      </c>
      <c r="C49" s="19" t="s">
        <v>400</v>
      </c>
      <c r="D49" s="19"/>
      <c r="E49" s="104" t="s">
        <v>462</v>
      </c>
      <c r="G49" s="333"/>
      <c r="H49" s="31">
        <v>3</v>
      </c>
      <c r="I49" s="32">
        <v>1.7746759999999999</v>
      </c>
      <c r="J49" s="32">
        <v>1.2758179999999999</v>
      </c>
      <c r="K49" s="32">
        <v>5.0871230000000001</v>
      </c>
      <c r="L49" s="32">
        <v>2.8021929999999999</v>
      </c>
      <c r="M49" s="67">
        <v>11</v>
      </c>
      <c r="R49" s="98" t="s">
        <v>264</v>
      </c>
      <c r="S49" s="82">
        <v>10.75</v>
      </c>
      <c r="T49" s="83">
        <v>13.15</v>
      </c>
      <c r="U49" s="83">
        <v>13.76</v>
      </c>
      <c r="V49" s="84">
        <v>15.37</v>
      </c>
    </row>
    <row r="50" spans="2:22" x14ac:dyDescent="0.25">
      <c r="B50" s="43" t="s">
        <v>164</v>
      </c>
      <c r="C50" s="19" t="s">
        <v>404</v>
      </c>
      <c r="D50" s="19"/>
      <c r="E50" s="104" t="s">
        <v>461</v>
      </c>
      <c r="G50" s="334"/>
      <c r="H50" s="33" t="s">
        <v>264</v>
      </c>
      <c r="I50" s="34">
        <v>1.955867</v>
      </c>
      <c r="J50" s="34">
        <v>1.2722910000000001</v>
      </c>
      <c r="K50" s="34">
        <v>8.4059329999999992</v>
      </c>
      <c r="L50" s="34">
        <v>3.5079120000000001</v>
      </c>
      <c r="M50" s="68">
        <v>15</v>
      </c>
    </row>
    <row r="51" spans="2:22" x14ac:dyDescent="0.25">
      <c r="B51" s="43" t="s">
        <v>165</v>
      </c>
      <c r="C51" s="19" t="s">
        <v>405</v>
      </c>
      <c r="D51" s="19"/>
      <c r="E51" s="104" t="s">
        <v>461</v>
      </c>
      <c r="G51" s="335" t="s">
        <v>259</v>
      </c>
      <c r="H51" s="31">
        <v>1</v>
      </c>
      <c r="I51" s="32">
        <v>0.58760599999999996</v>
      </c>
      <c r="J51" s="32">
        <v>1.0614539999999999</v>
      </c>
      <c r="K51" s="32">
        <v>1.2707809999999999</v>
      </c>
      <c r="L51" s="32">
        <v>1.1933849999999999</v>
      </c>
      <c r="M51" s="67">
        <v>4.0999999999999996</v>
      </c>
    </row>
    <row r="52" spans="2:22" x14ac:dyDescent="0.25">
      <c r="B52" s="43" t="s">
        <v>175</v>
      </c>
      <c r="C52" s="19" t="s">
        <v>406</v>
      </c>
      <c r="D52" s="19"/>
      <c r="E52" s="104" t="s">
        <v>461</v>
      </c>
      <c r="G52" s="333"/>
      <c r="H52" s="31">
        <v>2</v>
      </c>
      <c r="I52" s="32">
        <v>1.1414</v>
      </c>
      <c r="J52" s="32">
        <v>1.7496860000000001</v>
      </c>
      <c r="K52" s="32">
        <v>2.6229100000000001</v>
      </c>
      <c r="L52" s="32">
        <v>1.870843</v>
      </c>
      <c r="M52" s="67">
        <v>7.4</v>
      </c>
    </row>
    <row r="53" spans="2:22" x14ac:dyDescent="0.25">
      <c r="B53" s="43" t="s">
        <v>166</v>
      </c>
      <c r="C53" s="19" t="s">
        <v>407</v>
      </c>
      <c r="D53" s="19"/>
      <c r="E53" s="104" t="s">
        <v>461</v>
      </c>
      <c r="G53" s="333"/>
      <c r="H53" s="31">
        <v>3</v>
      </c>
      <c r="I53" s="32">
        <v>1.806943</v>
      </c>
      <c r="J53" s="32">
        <v>1.2990139999999999</v>
      </c>
      <c r="K53" s="32">
        <v>5.1796150000000001</v>
      </c>
      <c r="L53" s="32">
        <v>2.8531409999999999</v>
      </c>
      <c r="M53" s="67">
        <v>11.2</v>
      </c>
      <c r="R53" s="240" t="s">
        <v>585</v>
      </c>
      <c r="S53" s="242" t="s">
        <v>260</v>
      </c>
      <c r="T53" s="242" t="s">
        <v>261</v>
      </c>
      <c r="U53" s="242" t="s">
        <v>262</v>
      </c>
      <c r="V53" s="243" t="s">
        <v>263</v>
      </c>
    </row>
    <row r="54" spans="2:22" x14ac:dyDescent="0.25">
      <c r="B54" s="43" t="s">
        <v>167</v>
      </c>
      <c r="C54" s="19" t="s">
        <v>408</v>
      </c>
      <c r="D54" s="19"/>
      <c r="E54" s="104" t="s">
        <v>461</v>
      </c>
      <c r="G54" s="334"/>
      <c r="H54" s="33" t="s">
        <v>264</v>
      </c>
      <c r="I54" s="34">
        <v>2.0862590000000001</v>
      </c>
      <c r="J54" s="34">
        <v>1.3571089999999999</v>
      </c>
      <c r="K54" s="34">
        <v>8.9663280000000007</v>
      </c>
      <c r="L54" s="34">
        <v>3.7417729999999998</v>
      </c>
      <c r="M54" s="68">
        <v>16</v>
      </c>
      <c r="R54" s="264">
        <v>1</v>
      </c>
      <c r="S54" s="262">
        <v>0.19816055304437005</v>
      </c>
      <c r="T54" s="262">
        <v>0.24140866962119875</v>
      </c>
      <c r="U54" s="262">
        <v>0.28901655829215289</v>
      </c>
      <c r="V54" s="235">
        <v>0.2714142190422783</v>
      </c>
    </row>
    <row r="55" spans="2:22" x14ac:dyDescent="0.25">
      <c r="B55" s="43" t="s">
        <v>136</v>
      </c>
      <c r="C55" s="19" t="s">
        <v>409</v>
      </c>
      <c r="D55" s="19"/>
      <c r="E55" s="104" t="s">
        <v>461</v>
      </c>
      <c r="R55" s="264">
        <v>2</v>
      </c>
      <c r="S55" s="262">
        <v>0.21326560356318072</v>
      </c>
      <c r="T55" s="262">
        <v>0.22047753341999934</v>
      </c>
      <c r="U55" s="262">
        <v>0.33051233883090209</v>
      </c>
      <c r="V55" s="235">
        <v>0.23574452418591782</v>
      </c>
    </row>
    <row r="56" spans="2:22" x14ac:dyDescent="0.25">
      <c r="B56" s="43" t="s">
        <v>137</v>
      </c>
      <c r="C56" s="19" t="s">
        <v>410</v>
      </c>
      <c r="D56" s="19"/>
      <c r="E56" s="104" t="s">
        <v>461</v>
      </c>
      <c r="R56" s="264">
        <v>3</v>
      </c>
      <c r="S56" s="262">
        <v>0.22306982331092881</v>
      </c>
      <c r="T56" s="262">
        <v>0.10815133593445767</v>
      </c>
      <c r="U56" s="262">
        <v>0.4312364178503435</v>
      </c>
      <c r="V56" s="235">
        <v>0.23754242290426997</v>
      </c>
    </row>
    <row r="57" spans="2:22" x14ac:dyDescent="0.25">
      <c r="B57" s="43" t="s">
        <v>138</v>
      </c>
      <c r="C57" s="19" t="s">
        <v>411</v>
      </c>
      <c r="D57" s="19"/>
      <c r="E57" s="104" t="s">
        <v>461</v>
      </c>
      <c r="R57" s="265">
        <v>4</v>
      </c>
      <c r="S57" s="261">
        <v>0.18028622827870469</v>
      </c>
      <c r="T57" s="261">
        <v>7.909171578107084E-2</v>
      </c>
      <c r="U57" s="261">
        <v>0.52255331364769064</v>
      </c>
      <c r="V57" s="263">
        <v>0.21806874229253373</v>
      </c>
    </row>
    <row r="58" spans="2:22" x14ac:dyDescent="0.25">
      <c r="B58" s="43" t="s">
        <v>139</v>
      </c>
      <c r="C58" s="19" t="s">
        <v>412</v>
      </c>
      <c r="D58" s="19"/>
      <c r="E58" s="104" t="s">
        <v>461</v>
      </c>
    </row>
    <row r="59" spans="2:22" x14ac:dyDescent="0.25">
      <c r="B59" s="43" t="s">
        <v>268</v>
      </c>
      <c r="C59" s="19" t="s">
        <v>413</v>
      </c>
      <c r="D59" s="19"/>
      <c r="E59" s="104" t="s">
        <v>461</v>
      </c>
      <c r="G59" s="336" t="s">
        <v>270</v>
      </c>
      <c r="H59" s="336"/>
      <c r="I59" s="336"/>
      <c r="J59" s="336"/>
      <c r="K59" s="336"/>
      <c r="L59" s="336"/>
      <c r="M59" s="337"/>
    </row>
    <row r="60" spans="2:22" x14ac:dyDescent="0.25">
      <c r="B60" s="43" t="s">
        <v>168</v>
      </c>
      <c r="C60" s="19" t="s">
        <v>414</v>
      </c>
      <c r="D60" s="19"/>
      <c r="E60" s="104" t="s">
        <v>461</v>
      </c>
      <c r="G60" s="336"/>
      <c r="H60" s="336"/>
      <c r="I60" s="336"/>
      <c r="J60" s="336"/>
      <c r="K60" s="336"/>
      <c r="L60" s="336"/>
      <c r="M60" s="337"/>
    </row>
    <row r="61" spans="2:22" x14ac:dyDescent="0.25">
      <c r="B61" s="43" t="s">
        <v>140</v>
      </c>
      <c r="C61" s="19" t="s">
        <v>415</v>
      </c>
      <c r="D61" s="19"/>
      <c r="E61" s="104" t="s">
        <v>461</v>
      </c>
      <c r="G61" s="72"/>
      <c r="H61" s="73"/>
      <c r="I61" s="74"/>
      <c r="J61" s="74"/>
      <c r="K61" s="74"/>
      <c r="L61" s="74"/>
      <c r="M61" s="74"/>
    </row>
    <row r="62" spans="2:22" x14ac:dyDescent="0.25">
      <c r="B62" s="43" t="s">
        <v>169</v>
      </c>
      <c r="C62" s="19" t="s">
        <v>416</v>
      </c>
      <c r="D62" s="19"/>
      <c r="E62" s="104" t="s">
        <v>461</v>
      </c>
      <c r="G62" s="72"/>
      <c r="H62" s="73"/>
      <c r="I62" s="342" t="s">
        <v>271</v>
      </c>
      <c r="J62" s="342"/>
      <c r="K62" s="342"/>
      <c r="L62" s="342"/>
      <c r="M62" s="74"/>
    </row>
    <row r="63" spans="2:22" x14ac:dyDescent="0.25">
      <c r="B63" s="43" t="s">
        <v>170</v>
      </c>
      <c r="C63" s="19" t="s">
        <v>417</v>
      </c>
      <c r="D63" s="19"/>
      <c r="E63" s="104" t="s">
        <v>461</v>
      </c>
      <c r="G63" s="72"/>
      <c r="H63" s="75" t="s">
        <v>272</v>
      </c>
      <c r="I63" s="93">
        <v>0</v>
      </c>
      <c r="J63" s="94">
        <v>1</v>
      </c>
      <c r="K63" s="94">
        <v>2</v>
      </c>
      <c r="L63" s="95" t="s">
        <v>259</v>
      </c>
      <c r="M63" s="74"/>
    </row>
    <row r="64" spans="2:22" x14ac:dyDescent="0.25">
      <c r="B64" s="43" t="s">
        <v>141</v>
      </c>
      <c r="C64" s="19" t="s">
        <v>418</v>
      </c>
      <c r="D64" s="19"/>
      <c r="E64" s="104" t="s">
        <v>461</v>
      </c>
      <c r="G64" s="331" t="s">
        <v>273</v>
      </c>
      <c r="H64" s="96">
        <v>1</v>
      </c>
      <c r="I64" s="76">
        <f>I39</f>
        <v>0.358296</v>
      </c>
      <c r="J64" s="77">
        <f>I43</f>
        <v>0.54461099999999996</v>
      </c>
      <c r="K64" s="77">
        <f>I47</f>
        <v>0.55894299999999997</v>
      </c>
      <c r="L64" s="78">
        <f>I51</f>
        <v>0.58760599999999996</v>
      </c>
      <c r="M64" s="74"/>
    </row>
    <row r="65" spans="2:13" x14ac:dyDescent="0.25">
      <c r="B65" s="43" t="s">
        <v>171</v>
      </c>
      <c r="C65" s="19" t="s">
        <v>419</v>
      </c>
      <c r="D65" s="19"/>
      <c r="E65" s="104" t="s">
        <v>461</v>
      </c>
      <c r="G65" s="331"/>
      <c r="H65" s="97">
        <v>2</v>
      </c>
      <c r="I65" s="79">
        <f t="shared" ref="I65:I66" si="0">I40</f>
        <v>0.64782200000000001</v>
      </c>
      <c r="J65" s="80">
        <f t="shared" ref="J65:J67" si="1">I44</f>
        <v>1.0797030000000001</v>
      </c>
      <c r="K65" s="80">
        <f t="shared" ref="K65:K67" si="2">I48</f>
        <v>1.110552</v>
      </c>
      <c r="L65" s="81">
        <f t="shared" ref="L65:L66" si="3">I52</f>
        <v>1.1414</v>
      </c>
      <c r="M65" s="74"/>
    </row>
    <row r="66" spans="2:13" x14ac:dyDescent="0.25">
      <c r="B66" s="43" t="s">
        <v>172</v>
      </c>
      <c r="C66" s="19" t="s">
        <v>420</v>
      </c>
      <c r="D66" s="19"/>
      <c r="E66" s="104" t="s">
        <v>461</v>
      </c>
      <c r="G66" s="331"/>
      <c r="H66" s="97">
        <v>3</v>
      </c>
      <c r="I66" s="79">
        <f t="shared" si="0"/>
        <v>1.000272</v>
      </c>
      <c r="J66" s="80">
        <f t="shared" si="1"/>
        <v>1.6133420000000001</v>
      </c>
      <c r="K66" s="80">
        <f t="shared" si="2"/>
        <v>1.7746759999999999</v>
      </c>
      <c r="L66" s="81">
        <f t="shared" si="3"/>
        <v>1.806943</v>
      </c>
      <c r="M66" s="74"/>
    </row>
    <row r="67" spans="2:13" x14ac:dyDescent="0.25">
      <c r="B67" s="43" t="s">
        <v>142</v>
      </c>
      <c r="C67" s="19" t="s">
        <v>421</v>
      </c>
      <c r="D67" s="19"/>
      <c r="E67" s="104" t="s">
        <v>461</v>
      </c>
      <c r="G67" s="331"/>
      <c r="H67" s="98" t="s">
        <v>264</v>
      </c>
      <c r="I67" s="82">
        <f>I42</f>
        <v>1.332597</v>
      </c>
      <c r="J67" s="83">
        <f t="shared" si="1"/>
        <v>1.695085</v>
      </c>
      <c r="K67" s="83">
        <f t="shared" si="2"/>
        <v>1.955867</v>
      </c>
      <c r="L67" s="84">
        <f>I54</f>
        <v>2.0862590000000001</v>
      </c>
      <c r="M67" s="74"/>
    </row>
    <row r="68" spans="2:13" x14ac:dyDescent="0.25">
      <c r="B68" s="43" t="s">
        <v>173</v>
      </c>
      <c r="C68" s="19" t="s">
        <v>422</v>
      </c>
      <c r="D68" s="19"/>
      <c r="E68" s="104" t="s">
        <v>461</v>
      </c>
      <c r="G68" s="331" t="s">
        <v>274</v>
      </c>
      <c r="H68" s="96">
        <v>1</v>
      </c>
      <c r="I68" s="76">
        <f>J39</f>
        <v>0.64722800000000003</v>
      </c>
      <c r="J68" s="77">
        <f>J43</f>
        <v>0.98378600000000005</v>
      </c>
      <c r="K68" s="77">
        <f>J47</f>
        <v>1.0096750000000001</v>
      </c>
      <c r="L68" s="78">
        <f>J51</f>
        <v>1.0614539999999999</v>
      </c>
      <c r="M68" s="74"/>
    </row>
    <row r="69" spans="2:13" x14ac:dyDescent="0.25">
      <c r="B69" s="43" t="s">
        <v>143</v>
      </c>
      <c r="C69" s="19" t="s">
        <v>401</v>
      </c>
      <c r="D69" s="19"/>
      <c r="E69" s="104" t="s">
        <v>461</v>
      </c>
      <c r="G69" s="331"/>
      <c r="H69" s="97">
        <v>2</v>
      </c>
      <c r="I69" s="79">
        <f t="shared" ref="I69:I70" si="4">J40</f>
        <v>0.99306499999999998</v>
      </c>
      <c r="J69" s="80">
        <f t="shared" ref="J69:J71" si="5">J44</f>
        <v>1.6551089999999999</v>
      </c>
      <c r="K69" s="80">
        <f t="shared" ref="K69:K71" si="6">J48</f>
        <v>1.7023969999999999</v>
      </c>
      <c r="L69" s="81">
        <f t="shared" ref="L69:L70" si="7">J52</f>
        <v>1.7496860000000001</v>
      </c>
      <c r="M69" s="74"/>
    </row>
    <row r="70" spans="2:13" x14ac:dyDescent="0.25">
      <c r="B70" s="43" t="s">
        <v>174</v>
      </c>
      <c r="C70" s="19" t="s">
        <v>402</v>
      </c>
      <c r="D70" s="19"/>
      <c r="E70" s="104" t="s">
        <v>462</v>
      </c>
      <c r="G70" s="331"/>
      <c r="H70" s="97">
        <v>3</v>
      </c>
      <c r="I70" s="79">
        <f t="shared" si="4"/>
        <v>0.71909699999999999</v>
      </c>
      <c r="J70" s="80">
        <f t="shared" si="5"/>
        <v>1.159834</v>
      </c>
      <c r="K70" s="80">
        <f t="shared" si="6"/>
        <v>1.2758179999999999</v>
      </c>
      <c r="L70" s="81">
        <f t="shared" si="7"/>
        <v>1.2990139999999999</v>
      </c>
      <c r="M70" s="74"/>
    </row>
    <row r="71" spans="2:13" x14ac:dyDescent="0.25">
      <c r="B71" s="43" t="s">
        <v>267</v>
      </c>
      <c r="C71" s="19" t="s">
        <v>403</v>
      </c>
      <c r="D71" s="19"/>
      <c r="E71" s="104" t="s">
        <v>461</v>
      </c>
      <c r="G71" s="331"/>
      <c r="H71" s="98" t="s">
        <v>264</v>
      </c>
      <c r="I71" s="82">
        <f>J42</f>
        <v>0.86685400000000001</v>
      </c>
      <c r="J71" s="83">
        <f t="shared" si="5"/>
        <v>1.102652</v>
      </c>
      <c r="K71" s="83">
        <f t="shared" si="6"/>
        <v>1.2722910000000001</v>
      </c>
      <c r="L71" s="84">
        <f>J54</f>
        <v>1.3571089999999999</v>
      </c>
      <c r="M71" s="74"/>
    </row>
    <row r="72" spans="2:13" x14ac:dyDescent="0.25">
      <c r="B72" s="44" t="s">
        <v>207</v>
      </c>
      <c r="C72" s="107" t="s">
        <v>519</v>
      </c>
      <c r="D72" s="107"/>
      <c r="E72" s="108" t="s">
        <v>461</v>
      </c>
      <c r="G72" s="331" t="s">
        <v>275</v>
      </c>
      <c r="H72" s="96">
        <v>1</v>
      </c>
      <c r="I72" s="76">
        <f>K39</f>
        <v>0.77486600000000005</v>
      </c>
      <c r="J72" s="77">
        <f>K43</f>
        <v>1.177797</v>
      </c>
      <c r="K72" s="77">
        <f>K47</f>
        <v>1.2087920000000001</v>
      </c>
      <c r="L72" s="78">
        <f>K51</f>
        <v>1.2707809999999999</v>
      </c>
      <c r="M72" s="74"/>
    </row>
    <row r="73" spans="2:13" x14ac:dyDescent="0.25">
      <c r="G73" s="331"/>
      <c r="H73" s="97">
        <v>2</v>
      </c>
      <c r="I73" s="79">
        <f t="shared" ref="I73:I74" si="8">K40</f>
        <v>1.4886790000000001</v>
      </c>
      <c r="J73" s="80">
        <f t="shared" ref="J73:J75" si="9">K44</f>
        <v>2.481131</v>
      </c>
      <c r="K73" s="80">
        <f t="shared" ref="K73:K75" si="10">K48</f>
        <v>2.5520209999999999</v>
      </c>
      <c r="L73" s="81">
        <f t="shared" ref="L73:L74" si="11">K52</f>
        <v>2.6229100000000001</v>
      </c>
      <c r="M73" s="74"/>
    </row>
    <row r="74" spans="2:13" x14ac:dyDescent="0.25">
      <c r="G74" s="331"/>
      <c r="H74" s="97">
        <v>3</v>
      </c>
      <c r="I74" s="79">
        <f t="shared" si="8"/>
        <v>2.8672870000000001</v>
      </c>
      <c r="J74" s="80">
        <f t="shared" si="9"/>
        <v>4.6246559999999999</v>
      </c>
      <c r="K74" s="80">
        <f t="shared" si="10"/>
        <v>5.0871230000000001</v>
      </c>
      <c r="L74" s="81">
        <f t="shared" si="11"/>
        <v>5.1796150000000001</v>
      </c>
      <c r="M74" s="74"/>
    </row>
    <row r="75" spans="2:13" x14ac:dyDescent="0.25">
      <c r="G75" s="331"/>
      <c r="H75" s="98" t="s">
        <v>264</v>
      </c>
      <c r="I75" s="82">
        <f>K42</f>
        <v>5.7272420000000004</v>
      </c>
      <c r="J75" s="83">
        <f t="shared" si="9"/>
        <v>7.2851419999999996</v>
      </c>
      <c r="K75" s="83">
        <f t="shared" si="10"/>
        <v>8.4059329999999992</v>
      </c>
      <c r="L75" s="84">
        <f>K54</f>
        <v>8.9663280000000007</v>
      </c>
      <c r="M75" s="74"/>
    </row>
    <row r="76" spans="2:13" x14ac:dyDescent="0.25">
      <c r="G76" s="331" t="s">
        <v>276</v>
      </c>
      <c r="H76" s="96">
        <v>1</v>
      </c>
      <c r="I76" s="76">
        <f>L39</f>
        <v>0.72767400000000004</v>
      </c>
      <c r="J76" s="77">
        <f>L43</f>
        <v>1.1060639999999999</v>
      </c>
      <c r="K76" s="77">
        <f>L47</f>
        <v>1.13517</v>
      </c>
      <c r="L76" s="78">
        <f>L51</f>
        <v>1.1933849999999999</v>
      </c>
      <c r="M76" s="92"/>
    </row>
    <row r="77" spans="2:13" x14ac:dyDescent="0.25">
      <c r="G77" s="331"/>
      <c r="H77" s="97">
        <v>2</v>
      </c>
      <c r="I77" s="79">
        <f t="shared" ref="I77:I78" si="12">L40</f>
        <v>1.0618300000000001</v>
      </c>
      <c r="J77" s="80">
        <f t="shared" ref="J77:J79" si="13">L44</f>
        <v>1.769717</v>
      </c>
      <c r="K77" s="80">
        <f t="shared" ref="K77:K79" si="14">L48</f>
        <v>1.8202799999999999</v>
      </c>
      <c r="L77" s="81">
        <f t="shared" ref="L77:L78" si="15">L52</f>
        <v>1.870843</v>
      </c>
      <c r="M77" s="92"/>
    </row>
    <row r="78" spans="2:13" x14ac:dyDescent="0.25">
      <c r="G78" s="331"/>
      <c r="H78" s="97">
        <v>3</v>
      </c>
      <c r="I78" s="79">
        <f t="shared" si="12"/>
        <v>1.5794170000000001</v>
      </c>
      <c r="J78" s="80">
        <f t="shared" si="13"/>
        <v>2.547447</v>
      </c>
      <c r="K78" s="80">
        <f t="shared" si="14"/>
        <v>2.8021929999999999</v>
      </c>
      <c r="L78" s="81">
        <f t="shared" si="15"/>
        <v>2.8531409999999999</v>
      </c>
      <c r="M78" s="92"/>
    </row>
    <row r="79" spans="2:13" x14ac:dyDescent="0.25">
      <c r="G79" s="331"/>
      <c r="H79" s="98" t="s">
        <v>264</v>
      </c>
      <c r="I79" s="82">
        <f>L42</f>
        <v>2.3900579999999998</v>
      </c>
      <c r="J79" s="83">
        <f t="shared" si="13"/>
        <v>3.0401910000000001</v>
      </c>
      <c r="K79" s="83">
        <f t="shared" si="14"/>
        <v>3.5079120000000001</v>
      </c>
      <c r="L79" s="84">
        <f>L54</f>
        <v>3.7417729999999998</v>
      </c>
      <c r="M79" s="92"/>
    </row>
    <row r="80" spans="2:13" x14ac:dyDescent="0.25">
      <c r="G80" s="92"/>
      <c r="H80" s="92"/>
      <c r="I80" s="92"/>
      <c r="J80" s="92"/>
      <c r="K80" s="92"/>
      <c r="L80" s="92"/>
      <c r="M80" s="92"/>
    </row>
    <row r="81" spans="7:17" x14ac:dyDescent="0.25">
      <c r="G81" s="92"/>
      <c r="I81" s="85"/>
      <c r="J81" s="85"/>
      <c r="K81" s="85"/>
      <c r="L81" s="85"/>
      <c r="M81" s="92"/>
      <c r="N81" s="86"/>
      <c r="O81" s="86"/>
      <c r="P81" s="86"/>
      <c r="Q81" s="86"/>
    </row>
    <row r="82" spans="7:17" x14ac:dyDescent="0.25">
      <c r="G82" s="92"/>
      <c r="H82" s="73"/>
      <c r="I82" s="341" t="s">
        <v>271</v>
      </c>
      <c r="J82" s="341"/>
      <c r="K82" s="341"/>
      <c r="L82" s="341"/>
      <c r="M82" s="92"/>
      <c r="N82" s="86"/>
      <c r="O82" s="86"/>
      <c r="P82" s="86"/>
      <c r="Q82" s="86"/>
    </row>
    <row r="83" spans="7:17" x14ac:dyDescent="0.25">
      <c r="G83" s="92"/>
      <c r="H83" s="114" t="s">
        <v>272</v>
      </c>
      <c r="I83" s="93">
        <v>0</v>
      </c>
      <c r="J83" s="94">
        <v>1</v>
      </c>
      <c r="K83" s="94">
        <v>2</v>
      </c>
      <c r="L83" s="95" t="s">
        <v>259</v>
      </c>
      <c r="M83" s="92"/>
      <c r="N83" s="86"/>
      <c r="O83" s="86"/>
      <c r="P83" s="86"/>
      <c r="Q83" s="86"/>
    </row>
    <row r="84" spans="7:17" x14ac:dyDescent="0.25">
      <c r="G84" s="92"/>
      <c r="H84" s="96">
        <v>1</v>
      </c>
      <c r="I84" s="76">
        <f t="shared" ref="I84:L87" si="16">I64+I68+I72+I76</f>
        <v>2.5080640000000001</v>
      </c>
      <c r="J84" s="77">
        <f t="shared" si="16"/>
        <v>3.8122579999999999</v>
      </c>
      <c r="K84" s="77">
        <f t="shared" si="16"/>
        <v>3.9125800000000002</v>
      </c>
      <c r="L84" s="78">
        <f t="shared" si="16"/>
        <v>4.113226</v>
      </c>
      <c r="M84" s="92"/>
      <c r="N84" s="86"/>
      <c r="O84" s="86"/>
      <c r="P84" s="86"/>
      <c r="Q84" s="86"/>
    </row>
    <row r="85" spans="7:17" x14ac:dyDescent="0.25">
      <c r="H85" s="97">
        <v>2</v>
      </c>
      <c r="I85" s="79">
        <f t="shared" si="16"/>
        <v>4.1913960000000001</v>
      </c>
      <c r="J85" s="80">
        <f t="shared" si="16"/>
        <v>6.9856599999999993</v>
      </c>
      <c r="K85" s="80">
        <f t="shared" si="16"/>
        <v>7.1852499999999999</v>
      </c>
      <c r="L85" s="81">
        <f t="shared" si="16"/>
        <v>7.3848390000000004</v>
      </c>
    </row>
    <row r="86" spans="7:17" x14ac:dyDescent="0.25">
      <c r="H86" s="97">
        <v>3</v>
      </c>
      <c r="I86" s="79">
        <f t="shared" si="16"/>
        <v>6.1660729999999999</v>
      </c>
      <c r="J86" s="80">
        <f t="shared" si="16"/>
        <v>9.9452789999999993</v>
      </c>
      <c r="K86" s="80">
        <f t="shared" si="16"/>
        <v>10.939809999999998</v>
      </c>
      <c r="L86" s="81">
        <f t="shared" si="16"/>
        <v>11.138712999999999</v>
      </c>
    </row>
    <row r="87" spans="7:17" x14ac:dyDescent="0.25">
      <c r="H87" s="98" t="s">
        <v>264</v>
      </c>
      <c r="I87" s="82">
        <f t="shared" si="16"/>
        <v>10.316751</v>
      </c>
      <c r="J87" s="83">
        <f t="shared" si="16"/>
        <v>13.123069999999998</v>
      </c>
      <c r="K87" s="83">
        <f t="shared" si="16"/>
        <v>15.142002999999999</v>
      </c>
      <c r="L87" s="84">
        <f t="shared" si="16"/>
        <v>16.151468999999999</v>
      </c>
    </row>
  </sheetData>
  <sortState ref="G93:Q108">
    <sortCondition ref="G92"/>
  </sortState>
  <mergeCells count="15">
    <mergeCell ref="AB5:AE5"/>
    <mergeCell ref="AF5:AI5"/>
    <mergeCell ref="S25:V25"/>
    <mergeCell ref="S44:V44"/>
    <mergeCell ref="I82:L82"/>
    <mergeCell ref="I62:L62"/>
    <mergeCell ref="G64:G67"/>
    <mergeCell ref="G68:G71"/>
    <mergeCell ref="G72:G75"/>
    <mergeCell ref="G76:G79"/>
    <mergeCell ref="G39:G42"/>
    <mergeCell ref="G43:G46"/>
    <mergeCell ref="G47:G50"/>
    <mergeCell ref="G51:G54"/>
    <mergeCell ref="G59:M6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3:C10"/>
  <sheetViews>
    <sheetView zoomScale="70" zoomScaleNormal="70" workbookViewId="0">
      <selection activeCell="W44" sqref="W44"/>
    </sheetView>
  </sheetViews>
  <sheetFormatPr defaultRowHeight="15" x14ac:dyDescent="0.25"/>
  <cols>
    <col min="1" max="16384" width="9.140625" style="1"/>
  </cols>
  <sheetData>
    <row r="3" spans="3:3" x14ac:dyDescent="0.25">
      <c r="C3" s="1" t="s">
        <v>269</v>
      </c>
    </row>
    <row r="5" spans="3:3" x14ac:dyDescent="0.25">
      <c r="C5" s="1" t="s">
        <v>222</v>
      </c>
    </row>
    <row r="6" spans="3:3" x14ac:dyDescent="0.25">
      <c r="C6" s="1" t="s">
        <v>223</v>
      </c>
    </row>
    <row r="7" spans="3:3" x14ac:dyDescent="0.25">
      <c r="C7" s="1" t="s">
        <v>224</v>
      </c>
    </row>
    <row r="10" spans="3:3" x14ac:dyDescent="0.25">
      <c r="C10" s="1" t="s">
        <v>225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showGridLines="0" workbookViewId="0">
      <selection activeCell="C30" sqref="C30:D31"/>
    </sheetView>
  </sheetViews>
  <sheetFormatPr defaultRowHeight="12.75" x14ac:dyDescent="0.2"/>
  <cols>
    <col min="1" max="1" width="6.42578125" style="144" customWidth="1"/>
    <col min="2" max="2" width="6.5703125" style="200" bestFit="1" customWidth="1"/>
    <col min="3" max="3" width="24.140625" style="144" customWidth="1"/>
    <col min="4" max="4" width="15.42578125" style="144" customWidth="1"/>
    <col min="5" max="5" width="14.28515625" style="144" customWidth="1"/>
    <col min="6" max="6" width="10.140625" style="225" customWidth="1"/>
    <col min="7" max="7" width="29.140625" style="145" customWidth="1"/>
    <col min="8" max="8" width="9.42578125" style="144" customWidth="1"/>
    <col min="9" max="9" width="6.28515625" style="144" customWidth="1"/>
    <col min="10" max="17" width="8.5703125" style="144" bestFit="1" customWidth="1"/>
    <col min="18" max="18" width="10.140625" style="144" bestFit="1" customWidth="1"/>
    <col min="19" max="19" width="10.28515625" style="144" customWidth="1"/>
    <col min="20" max="20" width="9.28515625" style="144" bestFit="1" customWidth="1"/>
    <col min="21" max="21" width="10" style="144" bestFit="1" customWidth="1"/>
    <col min="22" max="22" width="94.140625" style="144" bestFit="1" customWidth="1"/>
    <col min="23" max="23" width="20.28515625" style="144" customWidth="1"/>
    <col min="24" max="25" width="9.140625" style="144"/>
    <col min="26" max="26" width="29.140625" style="144" customWidth="1"/>
    <col min="27" max="27" width="8.42578125" style="144" customWidth="1"/>
    <col min="28" max="28" width="13.28515625" style="144" customWidth="1"/>
    <col min="29" max="29" width="15" style="144" customWidth="1"/>
    <col min="30" max="257" width="9.140625" style="144"/>
    <col min="258" max="258" width="6.42578125" style="144" customWidth="1"/>
    <col min="259" max="259" width="6.5703125" style="144" bestFit="1" customWidth="1"/>
    <col min="260" max="260" width="5.5703125" style="144" bestFit="1" customWidth="1"/>
    <col min="261" max="261" width="27.28515625" style="144" bestFit="1" customWidth="1"/>
    <col min="262" max="262" width="10.5703125" style="144" bestFit="1" customWidth="1"/>
    <col min="263" max="263" width="9.140625" style="144"/>
    <col min="264" max="264" width="14.85546875" style="144" bestFit="1" customWidth="1"/>
    <col min="265" max="265" width="6.28515625" style="144" customWidth="1"/>
    <col min="266" max="273" width="8.5703125" style="144" bestFit="1" customWidth="1"/>
    <col min="274" max="274" width="10.140625" style="144" bestFit="1" customWidth="1"/>
    <col min="275" max="275" width="10.28515625" style="144" customWidth="1"/>
    <col min="276" max="276" width="9.28515625" style="144" bestFit="1" customWidth="1"/>
    <col min="277" max="277" width="10" style="144" bestFit="1" customWidth="1"/>
    <col min="278" max="278" width="94.140625" style="144" bestFit="1" customWidth="1"/>
    <col min="279" max="513" width="9.140625" style="144"/>
    <col min="514" max="514" width="6.42578125" style="144" customWidth="1"/>
    <col min="515" max="515" width="6.5703125" style="144" bestFit="1" customWidth="1"/>
    <col min="516" max="516" width="5.5703125" style="144" bestFit="1" customWidth="1"/>
    <col min="517" max="517" width="27.28515625" style="144" bestFit="1" customWidth="1"/>
    <col min="518" max="518" width="10.5703125" style="144" bestFit="1" customWidth="1"/>
    <col min="519" max="519" width="9.140625" style="144"/>
    <col min="520" max="520" width="14.85546875" style="144" bestFit="1" customWidth="1"/>
    <col min="521" max="521" width="6.28515625" style="144" customWidth="1"/>
    <col min="522" max="529" width="8.5703125" style="144" bestFit="1" customWidth="1"/>
    <col min="530" max="530" width="10.140625" style="144" bestFit="1" customWidth="1"/>
    <col min="531" max="531" width="10.28515625" style="144" customWidth="1"/>
    <col min="532" max="532" width="9.28515625" style="144" bestFit="1" customWidth="1"/>
    <col min="533" max="533" width="10" style="144" bestFit="1" customWidth="1"/>
    <col min="534" max="534" width="94.140625" style="144" bestFit="1" customWidth="1"/>
    <col min="535" max="769" width="9.140625" style="144"/>
    <col min="770" max="770" width="6.42578125" style="144" customWidth="1"/>
    <col min="771" max="771" width="6.5703125" style="144" bestFit="1" customWidth="1"/>
    <col min="772" max="772" width="5.5703125" style="144" bestFit="1" customWidth="1"/>
    <col min="773" max="773" width="27.28515625" style="144" bestFit="1" customWidth="1"/>
    <col min="774" max="774" width="10.5703125" style="144" bestFit="1" customWidth="1"/>
    <col min="775" max="775" width="9.140625" style="144"/>
    <col min="776" max="776" width="14.85546875" style="144" bestFit="1" customWidth="1"/>
    <col min="777" max="777" width="6.28515625" style="144" customWidth="1"/>
    <col min="778" max="785" width="8.5703125" style="144" bestFit="1" customWidth="1"/>
    <col min="786" max="786" width="10.140625" style="144" bestFit="1" customWidth="1"/>
    <col min="787" max="787" width="10.28515625" style="144" customWidth="1"/>
    <col min="788" max="788" width="9.28515625" style="144" bestFit="1" customWidth="1"/>
    <col min="789" max="789" width="10" style="144" bestFit="1" customWidth="1"/>
    <col min="790" max="790" width="94.140625" style="144" bestFit="1" customWidth="1"/>
    <col min="791" max="1025" width="9.140625" style="144"/>
    <col min="1026" max="1026" width="6.42578125" style="144" customWidth="1"/>
    <col min="1027" max="1027" width="6.5703125" style="144" bestFit="1" customWidth="1"/>
    <col min="1028" max="1028" width="5.5703125" style="144" bestFit="1" customWidth="1"/>
    <col min="1029" max="1029" width="27.28515625" style="144" bestFit="1" customWidth="1"/>
    <col min="1030" max="1030" width="10.5703125" style="144" bestFit="1" customWidth="1"/>
    <col min="1031" max="1031" width="9.140625" style="144"/>
    <col min="1032" max="1032" width="14.85546875" style="144" bestFit="1" customWidth="1"/>
    <col min="1033" max="1033" width="6.28515625" style="144" customWidth="1"/>
    <col min="1034" max="1041" width="8.5703125" style="144" bestFit="1" customWidth="1"/>
    <col min="1042" max="1042" width="10.140625" style="144" bestFit="1" customWidth="1"/>
    <col min="1043" max="1043" width="10.28515625" style="144" customWidth="1"/>
    <col min="1044" max="1044" width="9.28515625" style="144" bestFit="1" customWidth="1"/>
    <col min="1045" max="1045" width="10" style="144" bestFit="1" customWidth="1"/>
    <col min="1046" max="1046" width="94.140625" style="144" bestFit="1" customWidth="1"/>
    <col min="1047" max="1281" width="9.140625" style="144"/>
    <col min="1282" max="1282" width="6.42578125" style="144" customWidth="1"/>
    <col min="1283" max="1283" width="6.5703125" style="144" bestFit="1" customWidth="1"/>
    <col min="1284" max="1284" width="5.5703125" style="144" bestFit="1" customWidth="1"/>
    <col min="1285" max="1285" width="27.28515625" style="144" bestFit="1" customWidth="1"/>
    <col min="1286" max="1286" width="10.5703125" style="144" bestFit="1" customWidth="1"/>
    <col min="1287" max="1287" width="9.140625" style="144"/>
    <col min="1288" max="1288" width="14.85546875" style="144" bestFit="1" customWidth="1"/>
    <col min="1289" max="1289" width="6.28515625" style="144" customWidth="1"/>
    <col min="1290" max="1297" width="8.5703125" style="144" bestFit="1" customWidth="1"/>
    <col min="1298" max="1298" width="10.140625" style="144" bestFit="1" customWidth="1"/>
    <col min="1299" max="1299" width="10.28515625" style="144" customWidth="1"/>
    <col min="1300" max="1300" width="9.28515625" style="144" bestFit="1" customWidth="1"/>
    <col min="1301" max="1301" width="10" style="144" bestFit="1" customWidth="1"/>
    <col min="1302" max="1302" width="94.140625" style="144" bestFit="1" customWidth="1"/>
    <col min="1303" max="1537" width="9.140625" style="144"/>
    <col min="1538" max="1538" width="6.42578125" style="144" customWidth="1"/>
    <col min="1539" max="1539" width="6.5703125" style="144" bestFit="1" customWidth="1"/>
    <col min="1540" max="1540" width="5.5703125" style="144" bestFit="1" customWidth="1"/>
    <col min="1541" max="1541" width="27.28515625" style="144" bestFit="1" customWidth="1"/>
    <col min="1542" max="1542" width="10.5703125" style="144" bestFit="1" customWidth="1"/>
    <col min="1543" max="1543" width="9.140625" style="144"/>
    <col min="1544" max="1544" width="14.85546875" style="144" bestFit="1" customWidth="1"/>
    <col min="1545" max="1545" width="6.28515625" style="144" customWidth="1"/>
    <col min="1546" max="1553" width="8.5703125" style="144" bestFit="1" customWidth="1"/>
    <col min="1554" max="1554" width="10.140625" style="144" bestFit="1" customWidth="1"/>
    <col min="1555" max="1555" width="10.28515625" style="144" customWidth="1"/>
    <col min="1556" max="1556" width="9.28515625" style="144" bestFit="1" customWidth="1"/>
    <col min="1557" max="1557" width="10" style="144" bestFit="1" customWidth="1"/>
    <col min="1558" max="1558" width="94.140625" style="144" bestFit="1" customWidth="1"/>
    <col min="1559" max="1793" width="9.140625" style="144"/>
    <col min="1794" max="1794" width="6.42578125" style="144" customWidth="1"/>
    <col min="1795" max="1795" width="6.5703125" style="144" bestFit="1" customWidth="1"/>
    <col min="1796" max="1796" width="5.5703125" style="144" bestFit="1" customWidth="1"/>
    <col min="1797" max="1797" width="27.28515625" style="144" bestFit="1" customWidth="1"/>
    <col min="1798" max="1798" width="10.5703125" style="144" bestFit="1" customWidth="1"/>
    <col min="1799" max="1799" width="9.140625" style="144"/>
    <col min="1800" max="1800" width="14.85546875" style="144" bestFit="1" customWidth="1"/>
    <col min="1801" max="1801" width="6.28515625" style="144" customWidth="1"/>
    <col min="1802" max="1809" width="8.5703125" style="144" bestFit="1" customWidth="1"/>
    <col min="1810" max="1810" width="10.140625" style="144" bestFit="1" customWidth="1"/>
    <col min="1811" max="1811" width="10.28515625" style="144" customWidth="1"/>
    <col min="1812" max="1812" width="9.28515625" style="144" bestFit="1" customWidth="1"/>
    <col min="1813" max="1813" width="10" style="144" bestFit="1" customWidth="1"/>
    <col min="1814" max="1814" width="94.140625" style="144" bestFit="1" customWidth="1"/>
    <col min="1815" max="2049" width="9.140625" style="144"/>
    <col min="2050" max="2050" width="6.42578125" style="144" customWidth="1"/>
    <col min="2051" max="2051" width="6.5703125" style="144" bestFit="1" customWidth="1"/>
    <col min="2052" max="2052" width="5.5703125" style="144" bestFit="1" customWidth="1"/>
    <col min="2053" max="2053" width="27.28515625" style="144" bestFit="1" customWidth="1"/>
    <col min="2054" max="2054" width="10.5703125" style="144" bestFit="1" customWidth="1"/>
    <col min="2055" max="2055" width="9.140625" style="144"/>
    <col min="2056" max="2056" width="14.85546875" style="144" bestFit="1" customWidth="1"/>
    <col min="2057" max="2057" width="6.28515625" style="144" customWidth="1"/>
    <col min="2058" max="2065" width="8.5703125" style="144" bestFit="1" customWidth="1"/>
    <col min="2066" max="2066" width="10.140625" style="144" bestFit="1" customWidth="1"/>
    <col min="2067" max="2067" width="10.28515625" style="144" customWidth="1"/>
    <col min="2068" max="2068" width="9.28515625" style="144" bestFit="1" customWidth="1"/>
    <col min="2069" max="2069" width="10" style="144" bestFit="1" customWidth="1"/>
    <col min="2070" max="2070" width="94.140625" style="144" bestFit="1" customWidth="1"/>
    <col min="2071" max="2305" width="9.140625" style="144"/>
    <col min="2306" max="2306" width="6.42578125" style="144" customWidth="1"/>
    <col min="2307" max="2307" width="6.5703125" style="144" bestFit="1" customWidth="1"/>
    <col min="2308" max="2308" width="5.5703125" style="144" bestFit="1" customWidth="1"/>
    <col min="2309" max="2309" width="27.28515625" style="144" bestFit="1" customWidth="1"/>
    <col min="2310" max="2310" width="10.5703125" style="144" bestFit="1" customWidth="1"/>
    <col min="2311" max="2311" width="9.140625" style="144"/>
    <col min="2312" max="2312" width="14.85546875" style="144" bestFit="1" customWidth="1"/>
    <col min="2313" max="2313" width="6.28515625" style="144" customWidth="1"/>
    <col min="2314" max="2321" width="8.5703125" style="144" bestFit="1" customWidth="1"/>
    <col min="2322" max="2322" width="10.140625" style="144" bestFit="1" customWidth="1"/>
    <col min="2323" max="2323" width="10.28515625" style="144" customWidth="1"/>
    <col min="2324" max="2324" width="9.28515625" style="144" bestFit="1" customWidth="1"/>
    <col min="2325" max="2325" width="10" style="144" bestFit="1" customWidth="1"/>
    <col min="2326" max="2326" width="94.140625" style="144" bestFit="1" customWidth="1"/>
    <col min="2327" max="2561" width="9.140625" style="144"/>
    <col min="2562" max="2562" width="6.42578125" style="144" customWidth="1"/>
    <col min="2563" max="2563" width="6.5703125" style="144" bestFit="1" customWidth="1"/>
    <col min="2564" max="2564" width="5.5703125" style="144" bestFit="1" customWidth="1"/>
    <col min="2565" max="2565" width="27.28515625" style="144" bestFit="1" customWidth="1"/>
    <col min="2566" max="2566" width="10.5703125" style="144" bestFit="1" customWidth="1"/>
    <col min="2567" max="2567" width="9.140625" style="144"/>
    <col min="2568" max="2568" width="14.85546875" style="144" bestFit="1" customWidth="1"/>
    <col min="2569" max="2569" width="6.28515625" style="144" customWidth="1"/>
    <col min="2570" max="2577" width="8.5703125" style="144" bestFit="1" customWidth="1"/>
    <col min="2578" max="2578" width="10.140625" style="144" bestFit="1" customWidth="1"/>
    <col min="2579" max="2579" width="10.28515625" style="144" customWidth="1"/>
    <col min="2580" max="2580" width="9.28515625" style="144" bestFit="1" customWidth="1"/>
    <col min="2581" max="2581" width="10" style="144" bestFit="1" customWidth="1"/>
    <col min="2582" max="2582" width="94.140625" style="144" bestFit="1" customWidth="1"/>
    <col min="2583" max="2817" width="9.140625" style="144"/>
    <col min="2818" max="2818" width="6.42578125" style="144" customWidth="1"/>
    <col min="2819" max="2819" width="6.5703125" style="144" bestFit="1" customWidth="1"/>
    <col min="2820" max="2820" width="5.5703125" style="144" bestFit="1" customWidth="1"/>
    <col min="2821" max="2821" width="27.28515625" style="144" bestFit="1" customWidth="1"/>
    <col min="2822" max="2822" width="10.5703125" style="144" bestFit="1" customWidth="1"/>
    <col min="2823" max="2823" width="9.140625" style="144"/>
    <col min="2824" max="2824" width="14.85546875" style="144" bestFit="1" customWidth="1"/>
    <col min="2825" max="2825" width="6.28515625" style="144" customWidth="1"/>
    <col min="2826" max="2833" width="8.5703125" style="144" bestFit="1" customWidth="1"/>
    <col min="2834" max="2834" width="10.140625" style="144" bestFit="1" customWidth="1"/>
    <col min="2835" max="2835" width="10.28515625" style="144" customWidth="1"/>
    <col min="2836" max="2836" width="9.28515625" style="144" bestFit="1" customWidth="1"/>
    <col min="2837" max="2837" width="10" style="144" bestFit="1" customWidth="1"/>
    <col min="2838" max="2838" width="94.140625" style="144" bestFit="1" customWidth="1"/>
    <col min="2839" max="3073" width="9.140625" style="144"/>
    <col min="3074" max="3074" width="6.42578125" style="144" customWidth="1"/>
    <col min="3075" max="3075" width="6.5703125" style="144" bestFit="1" customWidth="1"/>
    <col min="3076" max="3076" width="5.5703125" style="144" bestFit="1" customWidth="1"/>
    <col min="3077" max="3077" width="27.28515625" style="144" bestFit="1" customWidth="1"/>
    <col min="3078" max="3078" width="10.5703125" style="144" bestFit="1" customWidth="1"/>
    <col min="3079" max="3079" width="9.140625" style="144"/>
    <col min="3080" max="3080" width="14.85546875" style="144" bestFit="1" customWidth="1"/>
    <col min="3081" max="3081" width="6.28515625" style="144" customWidth="1"/>
    <col min="3082" max="3089" width="8.5703125" style="144" bestFit="1" customWidth="1"/>
    <col min="3090" max="3090" width="10.140625" style="144" bestFit="1" customWidth="1"/>
    <col min="3091" max="3091" width="10.28515625" style="144" customWidth="1"/>
    <col min="3092" max="3092" width="9.28515625" style="144" bestFit="1" customWidth="1"/>
    <col min="3093" max="3093" width="10" style="144" bestFit="1" customWidth="1"/>
    <col min="3094" max="3094" width="94.140625" style="144" bestFit="1" customWidth="1"/>
    <col min="3095" max="3329" width="9.140625" style="144"/>
    <col min="3330" max="3330" width="6.42578125" style="144" customWidth="1"/>
    <col min="3331" max="3331" width="6.5703125" style="144" bestFit="1" customWidth="1"/>
    <col min="3332" max="3332" width="5.5703125" style="144" bestFit="1" customWidth="1"/>
    <col min="3333" max="3333" width="27.28515625" style="144" bestFit="1" customWidth="1"/>
    <col min="3334" max="3334" width="10.5703125" style="144" bestFit="1" customWidth="1"/>
    <col min="3335" max="3335" width="9.140625" style="144"/>
    <col min="3336" max="3336" width="14.85546875" style="144" bestFit="1" customWidth="1"/>
    <col min="3337" max="3337" width="6.28515625" style="144" customWidth="1"/>
    <col min="3338" max="3345" width="8.5703125" style="144" bestFit="1" customWidth="1"/>
    <col min="3346" max="3346" width="10.140625" style="144" bestFit="1" customWidth="1"/>
    <col min="3347" max="3347" width="10.28515625" style="144" customWidth="1"/>
    <col min="3348" max="3348" width="9.28515625" style="144" bestFit="1" customWidth="1"/>
    <col min="3349" max="3349" width="10" style="144" bestFit="1" customWidth="1"/>
    <col min="3350" max="3350" width="94.140625" style="144" bestFit="1" customWidth="1"/>
    <col min="3351" max="3585" width="9.140625" style="144"/>
    <col min="3586" max="3586" width="6.42578125" style="144" customWidth="1"/>
    <col min="3587" max="3587" width="6.5703125" style="144" bestFit="1" customWidth="1"/>
    <col min="3588" max="3588" width="5.5703125" style="144" bestFit="1" customWidth="1"/>
    <col min="3589" max="3589" width="27.28515625" style="144" bestFit="1" customWidth="1"/>
    <col min="3590" max="3590" width="10.5703125" style="144" bestFit="1" customWidth="1"/>
    <col min="3591" max="3591" width="9.140625" style="144"/>
    <col min="3592" max="3592" width="14.85546875" style="144" bestFit="1" customWidth="1"/>
    <col min="3593" max="3593" width="6.28515625" style="144" customWidth="1"/>
    <col min="3594" max="3601" width="8.5703125" style="144" bestFit="1" customWidth="1"/>
    <col min="3602" max="3602" width="10.140625" style="144" bestFit="1" customWidth="1"/>
    <col min="3603" max="3603" width="10.28515625" style="144" customWidth="1"/>
    <col min="3604" max="3604" width="9.28515625" style="144" bestFit="1" customWidth="1"/>
    <col min="3605" max="3605" width="10" style="144" bestFit="1" customWidth="1"/>
    <col min="3606" max="3606" width="94.140625" style="144" bestFit="1" customWidth="1"/>
    <col min="3607" max="3841" width="9.140625" style="144"/>
    <col min="3842" max="3842" width="6.42578125" style="144" customWidth="1"/>
    <col min="3843" max="3843" width="6.5703125" style="144" bestFit="1" customWidth="1"/>
    <col min="3844" max="3844" width="5.5703125" style="144" bestFit="1" customWidth="1"/>
    <col min="3845" max="3845" width="27.28515625" style="144" bestFit="1" customWidth="1"/>
    <col min="3846" max="3846" width="10.5703125" style="144" bestFit="1" customWidth="1"/>
    <col min="3847" max="3847" width="9.140625" style="144"/>
    <col min="3848" max="3848" width="14.85546875" style="144" bestFit="1" customWidth="1"/>
    <col min="3849" max="3849" width="6.28515625" style="144" customWidth="1"/>
    <col min="3850" max="3857" width="8.5703125" style="144" bestFit="1" customWidth="1"/>
    <col min="3858" max="3858" width="10.140625" style="144" bestFit="1" customWidth="1"/>
    <col min="3859" max="3859" width="10.28515625" style="144" customWidth="1"/>
    <col min="3860" max="3860" width="9.28515625" style="144" bestFit="1" customWidth="1"/>
    <col min="3861" max="3861" width="10" style="144" bestFit="1" customWidth="1"/>
    <col min="3862" max="3862" width="94.140625" style="144" bestFit="1" customWidth="1"/>
    <col min="3863" max="4097" width="9.140625" style="144"/>
    <col min="4098" max="4098" width="6.42578125" style="144" customWidth="1"/>
    <col min="4099" max="4099" width="6.5703125" style="144" bestFit="1" customWidth="1"/>
    <col min="4100" max="4100" width="5.5703125" style="144" bestFit="1" customWidth="1"/>
    <col min="4101" max="4101" width="27.28515625" style="144" bestFit="1" customWidth="1"/>
    <col min="4102" max="4102" width="10.5703125" style="144" bestFit="1" customWidth="1"/>
    <col min="4103" max="4103" width="9.140625" style="144"/>
    <col min="4104" max="4104" width="14.85546875" style="144" bestFit="1" customWidth="1"/>
    <col min="4105" max="4105" width="6.28515625" style="144" customWidth="1"/>
    <col min="4106" max="4113" width="8.5703125" style="144" bestFit="1" customWidth="1"/>
    <col min="4114" max="4114" width="10.140625" style="144" bestFit="1" customWidth="1"/>
    <col min="4115" max="4115" width="10.28515625" style="144" customWidth="1"/>
    <col min="4116" max="4116" width="9.28515625" style="144" bestFit="1" customWidth="1"/>
    <col min="4117" max="4117" width="10" style="144" bestFit="1" customWidth="1"/>
    <col min="4118" max="4118" width="94.140625" style="144" bestFit="1" customWidth="1"/>
    <col min="4119" max="4353" width="9.140625" style="144"/>
    <col min="4354" max="4354" width="6.42578125" style="144" customWidth="1"/>
    <col min="4355" max="4355" width="6.5703125" style="144" bestFit="1" customWidth="1"/>
    <col min="4356" max="4356" width="5.5703125" style="144" bestFit="1" customWidth="1"/>
    <col min="4357" max="4357" width="27.28515625" style="144" bestFit="1" customWidth="1"/>
    <col min="4358" max="4358" width="10.5703125" style="144" bestFit="1" customWidth="1"/>
    <col min="4359" max="4359" width="9.140625" style="144"/>
    <col min="4360" max="4360" width="14.85546875" style="144" bestFit="1" customWidth="1"/>
    <col min="4361" max="4361" width="6.28515625" style="144" customWidth="1"/>
    <col min="4362" max="4369" width="8.5703125" style="144" bestFit="1" customWidth="1"/>
    <col min="4370" max="4370" width="10.140625" style="144" bestFit="1" customWidth="1"/>
    <col min="4371" max="4371" width="10.28515625" style="144" customWidth="1"/>
    <col min="4372" max="4372" width="9.28515625" style="144" bestFit="1" customWidth="1"/>
    <col min="4373" max="4373" width="10" style="144" bestFit="1" customWidth="1"/>
    <col min="4374" max="4374" width="94.140625" style="144" bestFit="1" customWidth="1"/>
    <col min="4375" max="4609" width="9.140625" style="144"/>
    <col min="4610" max="4610" width="6.42578125" style="144" customWidth="1"/>
    <col min="4611" max="4611" width="6.5703125" style="144" bestFit="1" customWidth="1"/>
    <col min="4612" max="4612" width="5.5703125" style="144" bestFit="1" customWidth="1"/>
    <col min="4613" max="4613" width="27.28515625" style="144" bestFit="1" customWidth="1"/>
    <col min="4614" max="4614" width="10.5703125" style="144" bestFit="1" customWidth="1"/>
    <col min="4615" max="4615" width="9.140625" style="144"/>
    <col min="4616" max="4616" width="14.85546875" style="144" bestFit="1" customWidth="1"/>
    <col min="4617" max="4617" width="6.28515625" style="144" customWidth="1"/>
    <col min="4618" max="4625" width="8.5703125" style="144" bestFit="1" customWidth="1"/>
    <col min="4626" max="4626" width="10.140625" style="144" bestFit="1" customWidth="1"/>
    <col min="4627" max="4627" width="10.28515625" style="144" customWidth="1"/>
    <col min="4628" max="4628" width="9.28515625" style="144" bestFit="1" customWidth="1"/>
    <col min="4629" max="4629" width="10" style="144" bestFit="1" customWidth="1"/>
    <col min="4630" max="4630" width="94.140625" style="144" bestFit="1" customWidth="1"/>
    <col min="4631" max="4865" width="9.140625" style="144"/>
    <col min="4866" max="4866" width="6.42578125" style="144" customWidth="1"/>
    <col min="4867" max="4867" width="6.5703125" style="144" bestFit="1" customWidth="1"/>
    <col min="4868" max="4868" width="5.5703125" style="144" bestFit="1" customWidth="1"/>
    <col min="4869" max="4869" width="27.28515625" style="144" bestFit="1" customWidth="1"/>
    <col min="4870" max="4870" width="10.5703125" style="144" bestFit="1" customWidth="1"/>
    <col min="4871" max="4871" width="9.140625" style="144"/>
    <col min="4872" max="4872" width="14.85546875" style="144" bestFit="1" customWidth="1"/>
    <col min="4873" max="4873" width="6.28515625" style="144" customWidth="1"/>
    <col min="4874" max="4881" width="8.5703125" style="144" bestFit="1" customWidth="1"/>
    <col min="4882" max="4882" width="10.140625" style="144" bestFit="1" customWidth="1"/>
    <col min="4883" max="4883" width="10.28515625" style="144" customWidth="1"/>
    <col min="4884" max="4884" width="9.28515625" style="144" bestFit="1" customWidth="1"/>
    <col min="4885" max="4885" width="10" style="144" bestFit="1" customWidth="1"/>
    <col min="4886" max="4886" width="94.140625" style="144" bestFit="1" customWidth="1"/>
    <col min="4887" max="5121" width="9.140625" style="144"/>
    <col min="5122" max="5122" width="6.42578125" style="144" customWidth="1"/>
    <col min="5123" max="5123" width="6.5703125" style="144" bestFit="1" customWidth="1"/>
    <col min="5124" max="5124" width="5.5703125" style="144" bestFit="1" customWidth="1"/>
    <col min="5125" max="5125" width="27.28515625" style="144" bestFit="1" customWidth="1"/>
    <col min="5126" max="5126" width="10.5703125" style="144" bestFit="1" customWidth="1"/>
    <col min="5127" max="5127" width="9.140625" style="144"/>
    <col min="5128" max="5128" width="14.85546875" style="144" bestFit="1" customWidth="1"/>
    <col min="5129" max="5129" width="6.28515625" style="144" customWidth="1"/>
    <col min="5130" max="5137" width="8.5703125" style="144" bestFit="1" customWidth="1"/>
    <col min="5138" max="5138" width="10.140625" style="144" bestFit="1" customWidth="1"/>
    <col min="5139" max="5139" width="10.28515625" style="144" customWidth="1"/>
    <col min="5140" max="5140" width="9.28515625" style="144" bestFit="1" customWidth="1"/>
    <col min="5141" max="5141" width="10" style="144" bestFit="1" customWidth="1"/>
    <col min="5142" max="5142" width="94.140625" style="144" bestFit="1" customWidth="1"/>
    <col min="5143" max="5377" width="9.140625" style="144"/>
    <col min="5378" max="5378" width="6.42578125" style="144" customWidth="1"/>
    <col min="5379" max="5379" width="6.5703125" style="144" bestFit="1" customWidth="1"/>
    <col min="5380" max="5380" width="5.5703125" style="144" bestFit="1" customWidth="1"/>
    <col min="5381" max="5381" width="27.28515625" style="144" bestFit="1" customWidth="1"/>
    <col min="5382" max="5382" width="10.5703125" style="144" bestFit="1" customWidth="1"/>
    <col min="5383" max="5383" width="9.140625" style="144"/>
    <col min="5384" max="5384" width="14.85546875" style="144" bestFit="1" customWidth="1"/>
    <col min="5385" max="5385" width="6.28515625" style="144" customWidth="1"/>
    <col min="5386" max="5393" width="8.5703125" style="144" bestFit="1" customWidth="1"/>
    <col min="5394" max="5394" width="10.140625" style="144" bestFit="1" customWidth="1"/>
    <col min="5395" max="5395" width="10.28515625" style="144" customWidth="1"/>
    <col min="5396" max="5396" width="9.28515625" style="144" bestFit="1" customWidth="1"/>
    <col min="5397" max="5397" width="10" style="144" bestFit="1" customWidth="1"/>
    <col min="5398" max="5398" width="94.140625" style="144" bestFit="1" customWidth="1"/>
    <col min="5399" max="5633" width="9.140625" style="144"/>
    <col min="5634" max="5634" width="6.42578125" style="144" customWidth="1"/>
    <col min="5635" max="5635" width="6.5703125" style="144" bestFit="1" customWidth="1"/>
    <col min="5636" max="5636" width="5.5703125" style="144" bestFit="1" customWidth="1"/>
    <col min="5637" max="5637" width="27.28515625" style="144" bestFit="1" customWidth="1"/>
    <col min="5638" max="5638" width="10.5703125" style="144" bestFit="1" customWidth="1"/>
    <col min="5639" max="5639" width="9.140625" style="144"/>
    <col min="5640" max="5640" width="14.85546875" style="144" bestFit="1" customWidth="1"/>
    <col min="5641" max="5641" width="6.28515625" style="144" customWidth="1"/>
    <col min="5642" max="5649" width="8.5703125" style="144" bestFit="1" customWidth="1"/>
    <col min="5650" max="5650" width="10.140625" style="144" bestFit="1" customWidth="1"/>
    <col min="5651" max="5651" width="10.28515625" style="144" customWidth="1"/>
    <col min="5652" max="5652" width="9.28515625" style="144" bestFit="1" customWidth="1"/>
    <col min="5653" max="5653" width="10" style="144" bestFit="1" customWidth="1"/>
    <col min="5654" max="5654" width="94.140625" style="144" bestFit="1" customWidth="1"/>
    <col min="5655" max="5889" width="9.140625" style="144"/>
    <col min="5890" max="5890" width="6.42578125" style="144" customWidth="1"/>
    <col min="5891" max="5891" width="6.5703125" style="144" bestFit="1" customWidth="1"/>
    <col min="5892" max="5892" width="5.5703125" style="144" bestFit="1" customWidth="1"/>
    <col min="5893" max="5893" width="27.28515625" style="144" bestFit="1" customWidth="1"/>
    <col min="5894" max="5894" width="10.5703125" style="144" bestFit="1" customWidth="1"/>
    <col min="5895" max="5895" width="9.140625" style="144"/>
    <col min="5896" max="5896" width="14.85546875" style="144" bestFit="1" customWidth="1"/>
    <col min="5897" max="5897" width="6.28515625" style="144" customWidth="1"/>
    <col min="5898" max="5905" width="8.5703125" style="144" bestFit="1" customWidth="1"/>
    <col min="5906" max="5906" width="10.140625" style="144" bestFit="1" customWidth="1"/>
    <col min="5907" max="5907" width="10.28515625" style="144" customWidth="1"/>
    <col min="5908" max="5908" width="9.28515625" style="144" bestFit="1" customWidth="1"/>
    <col min="5909" max="5909" width="10" style="144" bestFit="1" customWidth="1"/>
    <col min="5910" max="5910" width="94.140625" style="144" bestFit="1" customWidth="1"/>
    <col min="5911" max="6145" width="9.140625" style="144"/>
    <col min="6146" max="6146" width="6.42578125" style="144" customWidth="1"/>
    <col min="6147" max="6147" width="6.5703125" style="144" bestFit="1" customWidth="1"/>
    <col min="6148" max="6148" width="5.5703125" style="144" bestFit="1" customWidth="1"/>
    <col min="6149" max="6149" width="27.28515625" style="144" bestFit="1" customWidth="1"/>
    <col min="6150" max="6150" width="10.5703125" style="144" bestFit="1" customWidth="1"/>
    <col min="6151" max="6151" width="9.140625" style="144"/>
    <col min="6152" max="6152" width="14.85546875" style="144" bestFit="1" customWidth="1"/>
    <col min="6153" max="6153" width="6.28515625" style="144" customWidth="1"/>
    <col min="6154" max="6161" width="8.5703125" style="144" bestFit="1" customWidth="1"/>
    <col min="6162" max="6162" width="10.140625" style="144" bestFit="1" customWidth="1"/>
    <col min="6163" max="6163" width="10.28515625" style="144" customWidth="1"/>
    <col min="6164" max="6164" width="9.28515625" style="144" bestFit="1" customWidth="1"/>
    <col min="6165" max="6165" width="10" style="144" bestFit="1" customWidth="1"/>
    <col min="6166" max="6166" width="94.140625" style="144" bestFit="1" customWidth="1"/>
    <col min="6167" max="6401" width="9.140625" style="144"/>
    <col min="6402" max="6402" width="6.42578125" style="144" customWidth="1"/>
    <col min="6403" max="6403" width="6.5703125" style="144" bestFit="1" customWidth="1"/>
    <col min="6404" max="6404" width="5.5703125" style="144" bestFit="1" customWidth="1"/>
    <col min="6405" max="6405" width="27.28515625" style="144" bestFit="1" customWidth="1"/>
    <col min="6406" max="6406" width="10.5703125" style="144" bestFit="1" customWidth="1"/>
    <col min="6407" max="6407" width="9.140625" style="144"/>
    <col min="6408" max="6408" width="14.85546875" style="144" bestFit="1" customWidth="1"/>
    <col min="6409" max="6409" width="6.28515625" style="144" customWidth="1"/>
    <col min="6410" max="6417" width="8.5703125" style="144" bestFit="1" customWidth="1"/>
    <col min="6418" max="6418" width="10.140625" style="144" bestFit="1" customWidth="1"/>
    <col min="6419" max="6419" width="10.28515625" style="144" customWidth="1"/>
    <col min="6420" max="6420" width="9.28515625" style="144" bestFit="1" customWidth="1"/>
    <col min="6421" max="6421" width="10" style="144" bestFit="1" customWidth="1"/>
    <col min="6422" max="6422" width="94.140625" style="144" bestFit="1" customWidth="1"/>
    <col min="6423" max="6657" width="9.140625" style="144"/>
    <col min="6658" max="6658" width="6.42578125" style="144" customWidth="1"/>
    <col min="6659" max="6659" width="6.5703125" style="144" bestFit="1" customWidth="1"/>
    <col min="6660" max="6660" width="5.5703125" style="144" bestFit="1" customWidth="1"/>
    <col min="6661" max="6661" width="27.28515625" style="144" bestFit="1" customWidth="1"/>
    <col min="6662" max="6662" width="10.5703125" style="144" bestFit="1" customWidth="1"/>
    <col min="6663" max="6663" width="9.140625" style="144"/>
    <col min="6664" max="6664" width="14.85546875" style="144" bestFit="1" customWidth="1"/>
    <col min="6665" max="6665" width="6.28515625" style="144" customWidth="1"/>
    <col min="6666" max="6673" width="8.5703125" style="144" bestFit="1" customWidth="1"/>
    <col min="6674" max="6674" width="10.140625" style="144" bestFit="1" customWidth="1"/>
    <col min="6675" max="6675" width="10.28515625" style="144" customWidth="1"/>
    <col min="6676" max="6676" width="9.28515625" style="144" bestFit="1" customWidth="1"/>
    <col min="6677" max="6677" width="10" style="144" bestFit="1" customWidth="1"/>
    <col min="6678" max="6678" width="94.140625" style="144" bestFit="1" customWidth="1"/>
    <col min="6679" max="6913" width="9.140625" style="144"/>
    <col min="6914" max="6914" width="6.42578125" style="144" customWidth="1"/>
    <col min="6915" max="6915" width="6.5703125" style="144" bestFit="1" customWidth="1"/>
    <col min="6916" max="6916" width="5.5703125" style="144" bestFit="1" customWidth="1"/>
    <col min="6917" max="6917" width="27.28515625" style="144" bestFit="1" customWidth="1"/>
    <col min="6918" max="6918" width="10.5703125" style="144" bestFit="1" customWidth="1"/>
    <col min="6919" max="6919" width="9.140625" style="144"/>
    <col min="6920" max="6920" width="14.85546875" style="144" bestFit="1" customWidth="1"/>
    <col min="6921" max="6921" width="6.28515625" style="144" customWidth="1"/>
    <col min="6922" max="6929" width="8.5703125" style="144" bestFit="1" customWidth="1"/>
    <col min="6930" max="6930" width="10.140625" style="144" bestFit="1" customWidth="1"/>
    <col min="6931" max="6931" width="10.28515625" style="144" customWidth="1"/>
    <col min="6932" max="6932" width="9.28515625" style="144" bestFit="1" customWidth="1"/>
    <col min="6933" max="6933" width="10" style="144" bestFit="1" customWidth="1"/>
    <col min="6934" max="6934" width="94.140625" style="144" bestFit="1" customWidth="1"/>
    <col min="6935" max="7169" width="9.140625" style="144"/>
    <col min="7170" max="7170" width="6.42578125" style="144" customWidth="1"/>
    <col min="7171" max="7171" width="6.5703125" style="144" bestFit="1" customWidth="1"/>
    <col min="7172" max="7172" width="5.5703125" style="144" bestFit="1" customWidth="1"/>
    <col min="7173" max="7173" width="27.28515625" style="144" bestFit="1" customWidth="1"/>
    <col min="7174" max="7174" width="10.5703125" style="144" bestFit="1" customWidth="1"/>
    <col min="7175" max="7175" width="9.140625" style="144"/>
    <col min="7176" max="7176" width="14.85546875" style="144" bestFit="1" customWidth="1"/>
    <col min="7177" max="7177" width="6.28515625" style="144" customWidth="1"/>
    <col min="7178" max="7185" width="8.5703125" style="144" bestFit="1" customWidth="1"/>
    <col min="7186" max="7186" width="10.140625" style="144" bestFit="1" customWidth="1"/>
    <col min="7187" max="7187" width="10.28515625" style="144" customWidth="1"/>
    <col min="7188" max="7188" width="9.28515625" style="144" bestFit="1" customWidth="1"/>
    <col min="7189" max="7189" width="10" style="144" bestFit="1" customWidth="1"/>
    <col min="7190" max="7190" width="94.140625" style="144" bestFit="1" customWidth="1"/>
    <col min="7191" max="7425" width="9.140625" style="144"/>
    <col min="7426" max="7426" width="6.42578125" style="144" customWidth="1"/>
    <col min="7427" max="7427" width="6.5703125" style="144" bestFit="1" customWidth="1"/>
    <col min="7428" max="7428" width="5.5703125" style="144" bestFit="1" customWidth="1"/>
    <col min="7429" max="7429" width="27.28515625" style="144" bestFit="1" customWidth="1"/>
    <col min="7430" max="7430" width="10.5703125" style="144" bestFit="1" customWidth="1"/>
    <col min="7431" max="7431" width="9.140625" style="144"/>
    <col min="7432" max="7432" width="14.85546875" style="144" bestFit="1" customWidth="1"/>
    <col min="7433" max="7433" width="6.28515625" style="144" customWidth="1"/>
    <col min="7434" max="7441" width="8.5703125" style="144" bestFit="1" customWidth="1"/>
    <col min="7442" max="7442" width="10.140625" style="144" bestFit="1" customWidth="1"/>
    <col min="7443" max="7443" width="10.28515625" style="144" customWidth="1"/>
    <col min="7444" max="7444" width="9.28515625" style="144" bestFit="1" customWidth="1"/>
    <col min="7445" max="7445" width="10" style="144" bestFit="1" customWidth="1"/>
    <col min="7446" max="7446" width="94.140625" style="144" bestFit="1" customWidth="1"/>
    <col min="7447" max="7681" width="9.140625" style="144"/>
    <col min="7682" max="7682" width="6.42578125" style="144" customWidth="1"/>
    <col min="7683" max="7683" width="6.5703125" style="144" bestFit="1" customWidth="1"/>
    <col min="7684" max="7684" width="5.5703125" style="144" bestFit="1" customWidth="1"/>
    <col min="7685" max="7685" width="27.28515625" style="144" bestFit="1" customWidth="1"/>
    <col min="7686" max="7686" width="10.5703125" style="144" bestFit="1" customWidth="1"/>
    <col min="7687" max="7687" width="9.140625" style="144"/>
    <col min="7688" max="7688" width="14.85546875" style="144" bestFit="1" customWidth="1"/>
    <col min="7689" max="7689" width="6.28515625" style="144" customWidth="1"/>
    <col min="7690" max="7697" width="8.5703125" style="144" bestFit="1" customWidth="1"/>
    <col min="7698" max="7698" width="10.140625" style="144" bestFit="1" customWidth="1"/>
    <col min="7699" max="7699" width="10.28515625" style="144" customWidth="1"/>
    <col min="7700" max="7700" width="9.28515625" style="144" bestFit="1" customWidth="1"/>
    <col min="7701" max="7701" width="10" style="144" bestFit="1" customWidth="1"/>
    <col min="7702" max="7702" width="94.140625" style="144" bestFit="1" customWidth="1"/>
    <col min="7703" max="7937" width="9.140625" style="144"/>
    <col min="7938" max="7938" width="6.42578125" style="144" customWidth="1"/>
    <col min="7939" max="7939" width="6.5703125" style="144" bestFit="1" customWidth="1"/>
    <col min="7940" max="7940" width="5.5703125" style="144" bestFit="1" customWidth="1"/>
    <col min="7941" max="7941" width="27.28515625" style="144" bestFit="1" customWidth="1"/>
    <col min="7942" max="7942" width="10.5703125" style="144" bestFit="1" customWidth="1"/>
    <col min="7943" max="7943" width="9.140625" style="144"/>
    <col min="7944" max="7944" width="14.85546875" style="144" bestFit="1" customWidth="1"/>
    <col min="7945" max="7945" width="6.28515625" style="144" customWidth="1"/>
    <col min="7946" max="7953" width="8.5703125" style="144" bestFit="1" customWidth="1"/>
    <col min="7954" max="7954" width="10.140625" style="144" bestFit="1" customWidth="1"/>
    <col min="7955" max="7955" width="10.28515625" style="144" customWidth="1"/>
    <col min="7956" max="7956" width="9.28515625" style="144" bestFit="1" customWidth="1"/>
    <col min="7957" max="7957" width="10" style="144" bestFit="1" customWidth="1"/>
    <col min="7958" max="7958" width="94.140625" style="144" bestFit="1" customWidth="1"/>
    <col min="7959" max="8193" width="9.140625" style="144"/>
    <col min="8194" max="8194" width="6.42578125" style="144" customWidth="1"/>
    <col min="8195" max="8195" width="6.5703125" style="144" bestFit="1" customWidth="1"/>
    <col min="8196" max="8196" width="5.5703125" style="144" bestFit="1" customWidth="1"/>
    <col min="8197" max="8197" width="27.28515625" style="144" bestFit="1" customWidth="1"/>
    <col min="8198" max="8198" width="10.5703125" style="144" bestFit="1" customWidth="1"/>
    <col min="8199" max="8199" width="9.140625" style="144"/>
    <col min="8200" max="8200" width="14.85546875" style="144" bestFit="1" customWidth="1"/>
    <col min="8201" max="8201" width="6.28515625" style="144" customWidth="1"/>
    <col min="8202" max="8209" width="8.5703125" style="144" bestFit="1" customWidth="1"/>
    <col min="8210" max="8210" width="10.140625" style="144" bestFit="1" customWidth="1"/>
    <col min="8211" max="8211" width="10.28515625" style="144" customWidth="1"/>
    <col min="8212" max="8212" width="9.28515625" style="144" bestFit="1" customWidth="1"/>
    <col min="8213" max="8213" width="10" style="144" bestFit="1" customWidth="1"/>
    <col min="8214" max="8214" width="94.140625" style="144" bestFit="1" customWidth="1"/>
    <col min="8215" max="8449" width="9.140625" style="144"/>
    <col min="8450" max="8450" width="6.42578125" style="144" customWidth="1"/>
    <col min="8451" max="8451" width="6.5703125" style="144" bestFit="1" customWidth="1"/>
    <col min="8452" max="8452" width="5.5703125" style="144" bestFit="1" customWidth="1"/>
    <col min="8453" max="8453" width="27.28515625" style="144" bestFit="1" customWidth="1"/>
    <col min="8454" max="8454" width="10.5703125" style="144" bestFit="1" customWidth="1"/>
    <col min="8455" max="8455" width="9.140625" style="144"/>
    <col min="8456" max="8456" width="14.85546875" style="144" bestFit="1" customWidth="1"/>
    <col min="8457" max="8457" width="6.28515625" style="144" customWidth="1"/>
    <col min="8458" max="8465" width="8.5703125" style="144" bestFit="1" customWidth="1"/>
    <col min="8466" max="8466" width="10.140625" style="144" bestFit="1" customWidth="1"/>
    <col min="8467" max="8467" width="10.28515625" style="144" customWidth="1"/>
    <col min="8468" max="8468" width="9.28515625" style="144" bestFit="1" customWidth="1"/>
    <col min="8469" max="8469" width="10" style="144" bestFit="1" customWidth="1"/>
    <col min="8470" max="8470" width="94.140625" style="144" bestFit="1" customWidth="1"/>
    <col min="8471" max="8705" width="9.140625" style="144"/>
    <col min="8706" max="8706" width="6.42578125" style="144" customWidth="1"/>
    <col min="8707" max="8707" width="6.5703125" style="144" bestFit="1" customWidth="1"/>
    <col min="8708" max="8708" width="5.5703125" style="144" bestFit="1" customWidth="1"/>
    <col min="8709" max="8709" width="27.28515625" style="144" bestFit="1" customWidth="1"/>
    <col min="8710" max="8710" width="10.5703125" style="144" bestFit="1" customWidth="1"/>
    <col min="8711" max="8711" width="9.140625" style="144"/>
    <col min="8712" max="8712" width="14.85546875" style="144" bestFit="1" customWidth="1"/>
    <col min="8713" max="8713" width="6.28515625" style="144" customWidth="1"/>
    <col min="8714" max="8721" width="8.5703125" style="144" bestFit="1" customWidth="1"/>
    <col min="8722" max="8722" width="10.140625" style="144" bestFit="1" customWidth="1"/>
    <col min="8723" max="8723" width="10.28515625" style="144" customWidth="1"/>
    <col min="8724" max="8724" width="9.28515625" style="144" bestFit="1" customWidth="1"/>
    <col min="8725" max="8725" width="10" style="144" bestFit="1" customWidth="1"/>
    <col min="8726" max="8726" width="94.140625" style="144" bestFit="1" customWidth="1"/>
    <col min="8727" max="8961" width="9.140625" style="144"/>
    <col min="8962" max="8962" width="6.42578125" style="144" customWidth="1"/>
    <col min="8963" max="8963" width="6.5703125" style="144" bestFit="1" customWidth="1"/>
    <col min="8964" max="8964" width="5.5703125" style="144" bestFit="1" customWidth="1"/>
    <col min="8965" max="8965" width="27.28515625" style="144" bestFit="1" customWidth="1"/>
    <col min="8966" max="8966" width="10.5703125" style="144" bestFit="1" customWidth="1"/>
    <col min="8967" max="8967" width="9.140625" style="144"/>
    <col min="8968" max="8968" width="14.85546875" style="144" bestFit="1" customWidth="1"/>
    <col min="8969" max="8969" width="6.28515625" style="144" customWidth="1"/>
    <col min="8970" max="8977" width="8.5703125" style="144" bestFit="1" customWidth="1"/>
    <col min="8978" max="8978" width="10.140625" style="144" bestFit="1" customWidth="1"/>
    <col min="8979" max="8979" width="10.28515625" style="144" customWidth="1"/>
    <col min="8980" max="8980" width="9.28515625" style="144" bestFit="1" customWidth="1"/>
    <col min="8981" max="8981" width="10" style="144" bestFit="1" customWidth="1"/>
    <col min="8982" max="8982" width="94.140625" style="144" bestFit="1" customWidth="1"/>
    <col min="8983" max="9217" width="9.140625" style="144"/>
    <col min="9218" max="9218" width="6.42578125" style="144" customWidth="1"/>
    <col min="9219" max="9219" width="6.5703125" style="144" bestFit="1" customWidth="1"/>
    <col min="9220" max="9220" width="5.5703125" style="144" bestFit="1" customWidth="1"/>
    <col min="9221" max="9221" width="27.28515625" style="144" bestFit="1" customWidth="1"/>
    <col min="9222" max="9222" width="10.5703125" style="144" bestFit="1" customWidth="1"/>
    <col min="9223" max="9223" width="9.140625" style="144"/>
    <col min="9224" max="9224" width="14.85546875" style="144" bestFit="1" customWidth="1"/>
    <col min="9225" max="9225" width="6.28515625" style="144" customWidth="1"/>
    <col min="9226" max="9233" width="8.5703125" style="144" bestFit="1" customWidth="1"/>
    <col min="9234" max="9234" width="10.140625" style="144" bestFit="1" customWidth="1"/>
    <col min="9235" max="9235" width="10.28515625" style="144" customWidth="1"/>
    <col min="9236" max="9236" width="9.28515625" style="144" bestFit="1" customWidth="1"/>
    <col min="9237" max="9237" width="10" style="144" bestFit="1" customWidth="1"/>
    <col min="9238" max="9238" width="94.140625" style="144" bestFit="1" customWidth="1"/>
    <col min="9239" max="9473" width="9.140625" style="144"/>
    <col min="9474" max="9474" width="6.42578125" style="144" customWidth="1"/>
    <col min="9475" max="9475" width="6.5703125" style="144" bestFit="1" customWidth="1"/>
    <col min="9476" max="9476" width="5.5703125" style="144" bestFit="1" customWidth="1"/>
    <col min="9477" max="9477" width="27.28515625" style="144" bestFit="1" customWidth="1"/>
    <col min="9478" max="9478" width="10.5703125" style="144" bestFit="1" customWidth="1"/>
    <col min="9479" max="9479" width="9.140625" style="144"/>
    <col min="9480" max="9480" width="14.85546875" style="144" bestFit="1" customWidth="1"/>
    <col min="9481" max="9481" width="6.28515625" style="144" customWidth="1"/>
    <col min="9482" max="9489" width="8.5703125" style="144" bestFit="1" customWidth="1"/>
    <col min="9490" max="9490" width="10.140625" style="144" bestFit="1" customWidth="1"/>
    <col min="9491" max="9491" width="10.28515625" style="144" customWidth="1"/>
    <col min="9492" max="9492" width="9.28515625" style="144" bestFit="1" customWidth="1"/>
    <col min="9493" max="9493" width="10" style="144" bestFit="1" customWidth="1"/>
    <col min="9494" max="9494" width="94.140625" style="144" bestFit="1" customWidth="1"/>
    <col min="9495" max="9729" width="9.140625" style="144"/>
    <col min="9730" max="9730" width="6.42578125" style="144" customWidth="1"/>
    <col min="9731" max="9731" width="6.5703125" style="144" bestFit="1" customWidth="1"/>
    <col min="9732" max="9732" width="5.5703125" style="144" bestFit="1" customWidth="1"/>
    <col min="9733" max="9733" width="27.28515625" style="144" bestFit="1" customWidth="1"/>
    <col min="9734" max="9734" width="10.5703125" style="144" bestFit="1" customWidth="1"/>
    <col min="9735" max="9735" width="9.140625" style="144"/>
    <col min="9736" max="9736" width="14.85546875" style="144" bestFit="1" customWidth="1"/>
    <col min="9737" max="9737" width="6.28515625" style="144" customWidth="1"/>
    <col min="9738" max="9745" width="8.5703125" style="144" bestFit="1" customWidth="1"/>
    <col min="9746" max="9746" width="10.140625" style="144" bestFit="1" customWidth="1"/>
    <col min="9747" max="9747" width="10.28515625" style="144" customWidth="1"/>
    <col min="9748" max="9748" width="9.28515625" style="144" bestFit="1" customWidth="1"/>
    <col min="9749" max="9749" width="10" style="144" bestFit="1" customWidth="1"/>
    <col min="9750" max="9750" width="94.140625" style="144" bestFit="1" customWidth="1"/>
    <col min="9751" max="9985" width="9.140625" style="144"/>
    <col min="9986" max="9986" width="6.42578125" style="144" customWidth="1"/>
    <col min="9987" max="9987" width="6.5703125" style="144" bestFit="1" customWidth="1"/>
    <col min="9988" max="9988" width="5.5703125" style="144" bestFit="1" customWidth="1"/>
    <col min="9989" max="9989" width="27.28515625" style="144" bestFit="1" customWidth="1"/>
    <col min="9990" max="9990" width="10.5703125" style="144" bestFit="1" customWidth="1"/>
    <col min="9991" max="9991" width="9.140625" style="144"/>
    <col min="9992" max="9992" width="14.85546875" style="144" bestFit="1" customWidth="1"/>
    <col min="9993" max="9993" width="6.28515625" style="144" customWidth="1"/>
    <col min="9994" max="10001" width="8.5703125" style="144" bestFit="1" customWidth="1"/>
    <col min="10002" max="10002" width="10.140625" style="144" bestFit="1" customWidth="1"/>
    <col min="10003" max="10003" width="10.28515625" style="144" customWidth="1"/>
    <col min="10004" max="10004" width="9.28515625" style="144" bestFit="1" customWidth="1"/>
    <col min="10005" max="10005" width="10" style="144" bestFit="1" customWidth="1"/>
    <col min="10006" max="10006" width="94.140625" style="144" bestFit="1" customWidth="1"/>
    <col min="10007" max="10241" width="9.140625" style="144"/>
    <col min="10242" max="10242" width="6.42578125" style="144" customWidth="1"/>
    <col min="10243" max="10243" width="6.5703125" style="144" bestFit="1" customWidth="1"/>
    <col min="10244" max="10244" width="5.5703125" style="144" bestFit="1" customWidth="1"/>
    <col min="10245" max="10245" width="27.28515625" style="144" bestFit="1" customWidth="1"/>
    <col min="10246" max="10246" width="10.5703125" style="144" bestFit="1" customWidth="1"/>
    <col min="10247" max="10247" width="9.140625" style="144"/>
    <col min="10248" max="10248" width="14.85546875" style="144" bestFit="1" customWidth="1"/>
    <col min="10249" max="10249" width="6.28515625" style="144" customWidth="1"/>
    <col min="10250" max="10257" width="8.5703125" style="144" bestFit="1" customWidth="1"/>
    <col min="10258" max="10258" width="10.140625" style="144" bestFit="1" customWidth="1"/>
    <col min="10259" max="10259" width="10.28515625" style="144" customWidth="1"/>
    <col min="10260" max="10260" width="9.28515625" style="144" bestFit="1" customWidth="1"/>
    <col min="10261" max="10261" width="10" style="144" bestFit="1" customWidth="1"/>
    <col min="10262" max="10262" width="94.140625" style="144" bestFit="1" customWidth="1"/>
    <col min="10263" max="10497" width="9.140625" style="144"/>
    <col min="10498" max="10498" width="6.42578125" style="144" customWidth="1"/>
    <col min="10499" max="10499" width="6.5703125" style="144" bestFit="1" customWidth="1"/>
    <col min="10500" max="10500" width="5.5703125" style="144" bestFit="1" customWidth="1"/>
    <col min="10501" max="10501" width="27.28515625" style="144" bestFit="1" customWidth="1"/>
    <col min="10502" max="10502" width="10.5703125" style="144" bestFit="1" customWidth="1"/>
    <col min="10503" max="10503" width="9.140625" style="144"/>
    <col min="10504" max="10504" width="14.85546875" style="144" bestFit="1" customWidth="1"/>
    <col min="10505" max="10505" width="6.28515625" style="144" customWidth="1"/>
    <col min="10506" max="10513" width="8.5703125" style="144" bestFit="1" customWidth="1"/>
    <col min="10514" max="10514" width="10.140625" style="144" bestFit="1" customWidth="1"/>
    <col min="10515" max="10515" width="10.28515625" style="144" customWidth="1"/>
    <col min="10516" max="10516" width="9.28515625" style="144" bestFit="1" customWidth="1"/>
    <col min="10517" max="10517" width="10" style="144" bestFit="1" customWidth="1"/>
    <col min="10518" max="10518" width="94.140625" style="144" bestFit="1" customWidth="1"/>
    <col min="10519" max="10753" width="9.140625" style="144"/>
    <col min="10754" max="10754" width="6.42578125" style="144" customWidth="1"/>
    <col min="10755" max="10755" width="6.5703125" style="144" bestFit="1" customWidth="1"/>
    <col min="10756" max="10756" width="5.5703125" style="144" bestFit="1" customWidth="1"/>
    <col min="10757" max="10757" width="27.28515625" style="144" bestFit="1" customWidth="1"/>
    <col min="10758" max="10758" width="10.5703125" style="144" bestFit="1" customWidth="1"/>
    <col min="10759" max="10759" width="9.140625" style="144"/>
    <col min="10760" max="10760" width="14.85546875" style="144" bestFit="1" customWidth="1"/>
    <col min="10761" max="10761" width="6.28515625" style="144" customWidth="1"/>
    <col min="10762" max="10769" width="8.5703125" style="144" bestFit="1" customWidth="1"/>
    <col min="10770" max="10770" width="10.140625" style="144" bestFit="1" customWidth="1"/>
    <col min="10771" max="10771" width="10.28515625" style="144" customWidth="1"/>
    <col min="10772" max="10772" width="9.28515625" style="144" bestFit="1" customWidth="1"/>
    <col min="10773" max="10773" width="10" style="144" bestFit="1" customWidth="1"/>
    <col min="10774" max="10774" width="94.140625" style="144" bestFit="1" customWidth="1"/>
    <col min="10775" max="11009" width="9.140625" style="144"/>
    <col min="11010" max="11010" width="6.42578125" style="144" customWidth="1"/>
    <col min="11011" max="11011" width="6.5703125" style="144" bestFit="1" customWidth="1"/>
    <col min="11012" max="11012" width="5.5703125" style="144" bestFit="1" customWidth="1"/>
    <col min="11013" max="11013" width="27.28515625" style="144" bestFit="1" customWidth="1"/>
    <col min="11014" max="11014" width="10.5703125" style="144" bestFit="1" customWidth="1"/>
    <col min="11015" max="11015" width="9.140625" style="144"/>
    <col min="11016" max="11016" width="14.85546875" style="144" bestFit="1" customWidth="1"/>
    <col min="11017" max="11017" width="6.28515625" style="144" customWidth="1"/>
    <col min="11018" max="11025" width="8.5703125" style="144" bestFit="1" customWidth="1"/>
    <col min="11026" max="11026" width="10.140625" style="144" bestFit="1" customWidth="1"/>
    <col min="11027" max="11027" width="10.28515625" style="144" customWidth="1"/>
    <col min="11028" max="11028" width="9.28515625" style="144" bestFit="1" customWidth="1"/>
    <col min="11029" max="11029" width="10" style="144" bestFit="1" customWidth="1"/>
    <col min="11030" max="11030" width="94.140625" style="144" bestFit="1" customWidth="1"/>
    <col min="11031" max="11265" width="9.140625" style="144"/>
    <col min="11266" max="11266" width="6.42578125" style="144" customWidth="1"/>
    <col min="11267" max="11267" width="6.5703125" style="144" bestFit="1" customWidth="1"/>
    <col min="11268" max="11268" width="5.5703125" style="144" bestFit="1" customWidth="1"/>
    <col min="11269" max="11269" width="27.28515625" style="144" bestFit="1" customWidth="1"/>
    <col min="11270" max="11270" width="10.5703125" style="144" bestFit="1" customWidth="1"/>
    <col min="11271" max="11271" width="9.140625" style="144"/>
    <col min="11272" max="11272" width="14.85546875" style="144" bestFit="1" customWidth="1"/>
    <col min="11273" max="11273" width="6.28515625" style="144" customWidth="1"/>
    <col min="11274" max="11281" width="8.5703125" style="144" bestFit="1" customWidth="1"/>
    <col min="11282" max="11282" width="10.140625" style="144" bestFit="1" customWidth="1"/>
    <col min="11283" max="11283" width="10.28515625" style="144" customWidth="1"/>
    <col min="11284" max="11284" width="9.28515625" style="144" bestFit="1" customWidth="1"/>
    <col min="11285" max="11285" width="10" style="144" bestFit="1" customWidth="1"/>
    <col min="11286" max="11286" width="94.140625" style="144" bestFit="1" customWidth="1"/>
    <col min="11287" max="11521" width="9.140625" style="144"/>
    <col min="11522" max="11522" width="6.42578125" style="144" customWidth="1"/>
    <col min="11523" max="11523" width="6.5703125" style="144" bestFit="1" customWidth="1"/>
    <col min="11524" max="11524" width="5.5703125" style="144" bestFit="1" customWidth="1"/>
    <col min="11525" max="11525" width="27.28515625" style="144" bestFit="1" customWidth="1"/>
    <col min="11526" max="11526" width="10.5703125" style="144" bestFit="1" customWidth="1"/>
    <col min="11527" max="11527" width="9.140625" style="144"/>
    <col min="11528" max="11528" width="14.85546875" style="144" bestFit="1" customWidth="1"/>
    <col min="11529" max="11529" width="6.28515625" style="144" customWidth="1"/>
    <col min="11530" max="11537" width="8.5703125" style="144" bestFit="1" customWidth="1"/>
    <col min="11538" max="11538" width="10.140625" style="144" bestFit="1" customWidth="1"/>
    <col min="11539" max="11539" width="10.28515625" style="144" customWidth="1"/>
    <col min="11540" max="11540" width="9.28515625" style="144" bestFit="1" customWidth="1"/>
    <col min="11541" max="11541" width="10" style="144" bestFit="1" customWidth="1"/>
    <col min="11542" max="11542" width="94.140625" style="144" bestFit="1" customWidth="1"/>
    <col min="11543" max="11777" width="9.140625" style="144"/>
    <col min="11778" max="11778" width="6.42578125" style="144" customWidth="1"/>
    <col min="11779" max="11779" width="6.5703125" style="144" bestFit="1" customWidth="1"/>
    <col min="11780" max="11780" width="5.5703125" style="144" bestFit="1" customWidth="1"/>
    <col min="11781" max="11781" width="27.28515625" style="144" bestFit="1" customWidth="1"/>
    <col min="11782" max="11782" width="10.5703125" style="144" bestFit="1" customWidth="1"/>
    <col min="11783" max="11783" width="9.140625" style="144"/>
    <col min="11784" max="11784" width="14.85546875" style="144" bestFit="1" customWidth="1"/>
    <col min="11785" max="11785" width="6.28515625" style="144" customWidth="1"/>
    <col min="11786" max="11793" width="8.5703125" style="144" bestFit="1" customWidth="1"/>
    <col min="11794" max="11794" width="10.140625" style="144" bestFit="1" customWidth="1"/>
    <col min="11795" max="11795" width="10.28515625" style="144" customWidth="1"/>
    <col min="11796" max="11796" width="9.28515625" style="144" bestFit="1" customWidth="1"/>
    <col min="11797" max="11797" width="10" style="144" bestFit="1" customWidth="1"/>
    <col min="11798" max="11798" width="94.140625" style="144" bestFit="1" customWidth="1"/>
    <col min="11799" max="12033" width="9.140625" style="144"/>
    <col min="12034" max="12034" width="6.42578125" style="144" customWidth="1"/>
    <col min="12035" max="12035" width="6.5703125" style="144" bestFit="1" customWidth="1"/>
    <col min="12036" max="12036" width="5.5703125" style="144" bestFit="1" customWidth="1"/>
    <col min="12037" max="12037" width="27.28515625" style="144" bestFit="1" customWidth="1"/>
    <col min="12038" max="12038" width="10.5703125" style="144" bestFit="1" customWidth="1"/>
    <col min="12039" max="12039" width="9.140625" style="144"/>
    <col min="12040" max="12040" width="14.85546875" style="144" bestFit="1" customWidth="1"/>
    <col min="12041" max="12041" width="6.28515625" style="144" customWidth="1"/>
    <col min="12042" max="12049" width="8.5703125" style="144" bestFit="1" customWidth="1"/>
    <col min="12050" max="12050" width="10.140625" style="144" bestFit="1" customWidth="1"/>
    <col min="12051" max="12051" width="10.28515625" style="144" customWidth="1"/>
    <col min="12052" max="12052" width="9.28515625" style="144" bestFit="1" customWidth="1"/>
    <col min="12053" max="12053" width="10" style="144" bestFit="1" customWidth="1"/>
    <col min="12054" max="12054" width="94.140625" style="144" bestFit="1" customWidth="1"/>
    <col min="12055" max="12289" width="9.140625" style="144"/>
    <col min="12290" max="12290" width="6.42578125" style="144" customWidth="1"/>
    <col min="12291" max="12291" width="6.5703125" style="144" bestFit="1" customWidth="1"/>
    <col min="12292" max="12292" width="5.5703125" style="144" bestFit="1" customWidth="1"/>
    <col min="12293" max="12293" width="27.28515625" style="144" bestFit="1" customWidth="1"/>
    <col min="12294" max="12294" width="10.5703125" style="144" bestFit="1" customWidth="1"/>
    <col min="12295" max="12295" width="9.140625" style="144"/>
    <col min="12296" max="12296" width="14.85546875" style="144" bestFit="1" customWidth="1"/>
    <col min="12297" max="12297" width="6.28515625" style="144" customWidth="1"/>
    <col min="12298" max="12305" width="8.5703125" style="144" bestFit="1" customWidth="1"/>
    <col min="12306" max="12306" width="10.140625" style="144" bestFit="1" customWidth="1"/>
    <col min="12307" max="12307" width="10.28515625" style="144" customWidth="1"/>
    <col min="12308" max="12308" width="9.28515625" style="144" bestFit="1" customWidth="1"/>
    <col min="12309" max="12309" width="10" style="144" bestFit="1" customWidth="1"/>
    <col min="12310" max="12310" width="94.140625" style="144" bestFit="1" customWidth="1"/>
    <col min="12311" max="12545" width="9.140625" style="144"/>
    <col min="12546" max="12546" width="6.42578125" style="144" customWidth="1"/>
    <col min="12547" max="12547" width="6.5703125" style="144" bestFit="1" customWidth="1"/>
    <col min="12548" max="12548" width="5.5703125" style="144" bestFit="1" customWidth="1"/>
    <col min="12549" max="12549" width="27.28515625" style="144" bestFit="1" customWidth="1"/>
    <col min="12550" max="12550" width="10.5703125" style="144" bestFit="1" customWidth="1"/>
    <col min="12551" max="12551" width="9.140625" style="144"/>
    <col min="12552" max="12552" width="14.85546875" style="144" bestFit="1" customWidth="1"/>
    <col min="12553" max="12553" width="6.28515625" style="144" customWidth="1"/>
    <col min="12554" max="12561" width="8.5703125" style="144" bestFit="1" customWidth="1"/>
    <col min="12562" max="12562" width="10.140625" style="144" bestFit="1" customWidth="1"/>
    <col min="12563" max="12563" width="10.28515625" style="144" customWidth="1"/>
    <col min="12564" max="12564" width="9.28515625" style="144" bestFit="1" customWidth="1"/>
    <col min="12565" max="12565" width="10" style="144" bestFit="1" customWidth="1"/>
    <col min="12566" max="12566" width="94.140625" style="144" bestFit="1" customWidth="1"/>
    <col min="12567" max="12801" width="9.140625" style="144"/>
    <col min="12802" max="12802" width="6.42578125" style="144" customWidth="1"/>
    <col min="12803" max="12803" width="6.5703125" style="144" bestFit="1" customWidth="1"/>
    <col min="12804" max="12804" width="5.5703125" style="144" bestFit="1" customWidth="1"/>
    <col min="12805" max="12805" width="27.28515625" style="144" bestFit="1" customWidth="1"/>
    <col min="12806" max="12806" width="10.5703125" style="144" bestFit="1" customWidth="1"/>
    <col min="12807" max="12807" width="9.140625" style="144"/>
    <col min="12808" max="12808" width="14.85546875" style="144" bestFit="1" customWidth="1"/>
    <col min="12809" max="12809" width="6.28515625" style="144" customWidth="1"/>
    <col min="12810" max="12817" width="8.5703125" style="144" bestFit="1" customWidth="1"/>
    <col min="12818" max="12818" width="10.140625" style="144" bestFit="1" customWidth="1"/>
    <col min="12819" max="12819" width="10.28515625" style="144" customWidth="1"/>
    <col min="12820" max="12820" width="9.28515625" style="144" bestFit="1" customWidth="1"/>
    <col min="12821" max="12821" width="10" style="144" bestFit="1" customWidth="1"/>
    <col min="12822" max="12822" width="94.140625" style="144" bestFit="1" customWidth="1"/>
    <col min="12823" max="13057" width="9.140625" style="144"/>
    <col min="13058" max="13058" width="6.42578125" style="144" customWidth="1"/>
    <col min="13059" max="13059" width="6.5703125" style="144" bestFit="1" customWidth="1"/>
    <col min="13060" max="13060" width="5.5703125" style="144" bestFit="1" customWidth="1"/>
    <col min="13061" max="13061" width="27.28515625" style="144" bestFit="1" customWidth="1"/>
    <col min="13062" max="13062" width="10.5703125" style="144" bestFit="1" customWidth="1"/>
    <col min="13063" max="13063" width="9.140625" style="144"/>
    <col min="13064" max="13064" width="14.85546875" style="144" bestFit="1" customWidth="1"/>
    <col min="13065" max="13065" width="6.28515625" style="144" customWidth="1"/>
    <col min="13066" max="13073" width="8.5703125" style="144" bestFit="1" customWidth="1"/>
    <col min="13074" max="13074" width="10.140625" style="144" bestFit="1" customWidth="1"/>
    <col min="13075" max="13075" width="10.28515625" style="144" customWidth="1"/>
    <col min="13076" max="13076" width="9.28515625" style="144" bestFit="1" customWidth="1"/>
    <col min="13077" max="13077" width="10" style="144" bestFit="1" customWidth="1"/>
    <col min="13078" max="13078" width="94.140625" style="144" bestFit="1" customWidth="1"/>
    <col min="13079" max="13313" width="9.140625" style="144"/>
    <col min="13314" max="13314" width="6.42578125" style="144" customWidth="1"/>
    <col min="13315" max="13315" width="6.5703125" style="144" bestFit="1" customWidth="1"/>
    <col min="13316" max="13316" width="5.5703125" style="144" bestFit="1" customWidth="1"/>
    <col min="13317" max="13317" width="27.28515625" style="144" bestFit="1" customWidth="1"/>
    <col min="13318" max="13318" width="10.5703125" style="144" bestFit="1" customWidth="1"/>
    <col min="13319" max="13319" width="9.140625" style="144"/>
    <col min="13320" max="13320" width="14.85546875" style="144" bestFit="1" customWidth="1"/>
    <col min="13321" max="13321" width="6.28515625" style="144" customWidth="1"/>
    <col min="13322" max="13329" width="8.5703125" style="144" bestFit="1" customWidth="1"/>
    <col min="13330" max="13330" width="10.140625" style="144" bestFit="1" customWidth="1"/>
    <col min="13331" max="13331" width="10.28515625" style="144" customWidth="1"/>
    <col min="13332" max="13332" width="9.28515625" style="144" bestFit="1" customWidth="1"/>
    <col min="13333" max="13333" width="10" style="144" bestFit="1" customWidth="1"/>
    <col min="13334" max="13334" width="94.140625" style="144" bestFit="1" customWidth="1"/>
    <col min="13335" max="13569" width="9.140625" style="144"/>
    <col min="13570" max="13570" width="6.42578125" style="144" customWidth="1"/>
    <col min="13571" max="13571" width="6.5703125" style="144" bestFit="1" customWidth="1"/>
    <col min="13572" max="13572" width="5.5703125" style="144" bestFit="1" customWidth="1"/>
    <col min="13573" max="13573" width="27.28515625" style="144" bestFit="1" customWidth="1"/>
    <col min="13574" max="13574" width="10.5703125" style="144" bestFit="1" customWidth="1"/>
    <col min="13575" max="13575" width="9.140625" style="144"/>
    <col min="13576" max="13576" width="14.85546875" style="144" bestFit="1" customWidth="1"/>
    <col min="13577" max="13577" width="6.28515625" style="144" customWidth="1"/>
    <col min="13578" max="13585" width="8.5703125" style="144" bestFit="1" customWidth="1"/>
    <col min="13586" max="13586" width="10.140625" style="144" bestFit="1" customWidth="1"/>
    <col min="13587" max="13587" width="10.28515625" style="144" customWidth="1"/>
    <col min="13588" max="13588" width="9.28515625" style="144" bestFit="1" customWidth="1"/>
    <col min="13589" max="13589" width="10" style="144" bestFit="1" customWidth="1"/>
    <col min="13590" max="13590" width="94.140625" style="144" bestFit="1" customWidth="1"/>
    <col min="13591" max="13825" width="9.140625" style="144"/>
    <col min="13826" max="13826" width="6.42578125" style="144" customWidth="1"/>
    <col min="13827" max="13827" width="6.5703125" style="144" bestFit="1" customWidth="1"/>
    <col min="13828" max="13828" width="5.5703125" style="144" bestFit="1" customWidth="1"/>
    <col min="13829" max="13829" width="27.28515625" style="144" bestFit="1" customWidth="1"/>
    <col min="13830" max="13830" width="10.5703125" style="144" bestFit="1" customWidth="1"/>
    <col min="13831" max="13831" width="9.140625" style="144"/>
    <col min="13832" max="13832" width="14.85546875" style="144" bestFit="1" customWidth="1"/>
    <col min="13833" max="13833" width="6.28515625" style="144" customWidth="1"/>
    <col min="13834" max="13841" width="8.5703125" style="144" bestFit="1" customWidth="1"/>
    <col min="13842" max="13842" width="10.140625" style="144" bestFit="1" customWidth="1"/>
    <col min="13843" max="13843" width="10.28515625" style="144" customWidth="1"/>
    <col min="13844" max="13844" width="9.28515625" style="144" bestFit="1" customWidth="1"/>
    <col min="13845" max="13845" width="10" style="144" bestFit="1" customWidth="1"/>
    <col min="13846" max="13846" width="94.140625" style="144" bestFit="1" customWidth="1"/>
    <col min="13847" max="14081" width="9.140625" style="144"/>
    <col min="14082" max="14082" width="6.42578125" style="144" customWidth="1"/>
    <col min="14083" max="14083" width="6.5703125" style="144" bestFit="1" customWidth="1"/>
    <col min="14084" max="14084" width="5.5703125" style="144" bestFit="1" customWidth="1"/>
    <col min="14085" max="14085" width="27.28515625" style="144" bestFit="1" customWidth="1"/>
    <col min="14086" max="14086" width="10.5703125" style="144" bestFit="1" customWidth="1"/>
    <col min="14087" max="14087" width="9.140625" style="144"/>
    <col min="14088" max="14088" width="14.85546875" style="144" bestFit="1" customWidth="1"/>
    <col min="14089" max="14089" width="6.28515625" style="144" customWidth="1"/>
    <col min="14090" max="14097" width="8.5703125" style="144" bestFit="1" customWidth="1"/>
    <col min="14098" max="14098" width="10.140625" style="144" bestFit="1" customWidth="1"/>
    <col min="14099" max="14099" width="10.28515625" style="144" customWidth="1"/>
    <col min="14100" max="14100" width="9.28515625" style="144" bestFit="1" customWidth="1"/>
    <col min="14101" max="14101" width="10" style="144" bestFit="1" customWidth="1"/>
    <col min="14102" max="14102" width="94.140625" style="144" bestFit="1" customWidth="1"/>
    <col min="14103" max="14337" width="9.140625" style="144"/>
    <col min="14338" max="14338" width="6.42578125" style="144" customWidth="1"/>
    <col min="14339" max="14339" width="6.5703125" style="144" bestFit="1" customWidth="1"/>
    <col min="14340" max="14340" width="5.5703125" style="144" bestFit="1" customWidth="1"/>
    <col min="14341" max="14341" width="27.28515625" style="144" bestFit="1" customWidth="1"/>
    <col min="14342" max="14342" width="10.5703125" style="144" bestFit="1" customWidth="1"/>
    <col min="14343" max="14343" width="9.140625" style="144"/>
    <col min="14344" max="14344" width="14.85546875" style="144" bestFit="1" customWidth="1"/>
    <col min="14345" max="14345" width="6.28515625" style="144" customWidth="1"/>
    <col min="14346" max="14353" width="8.5703125" style="144" bestFit="1" customWidth="1"/>
    <col min="14354" max="14354" width="10.140625" style="144" bestFit="1" customWidth="1"/>
    <col min="14355" max="14355" width="10.28515625" style="144" customWidth="1"/>
    <col min="14356" max="14356" width="9.28515625" style="144" bestFit="1" customWidth="1"/>
    <col min="14357" max="14357" width="10" style="144" bestFit="1" customWidth="1"/>
    <col min="14358" max="14358" width="94.140625" style="144" bestFit="1" customWidth="1"/>
    <col min="14359" max="14593" width="9.140625" style="144"/>
    <col min="14594" max="14594" width="6.42578125" style="144" customWidth="1"/>
    <col min="14595" max="14595" width="6.5703125" style="144" bestFit="1" customWidth="1"/>
    <col min="14596" max="14596" width="5.5703125" style="144" bestFit="1" customWidth="1"/>
    <col min="14597" max="14597" width="27.28515625" style="144" bestFit="1" customWidth="1"/>
    <col min="14598" max="14598" width="10.5703125" style="144" bestFit="1" customWidth="1"/>
    <col min="14599" max="14599" width="9.140625" style="144"/>
    <col min="14600" max="14600" width="14.85546875" style="144" bestFit="1" customWidth="1"/>
    <col min="14601" max="14601" width="6.28515625" style="144" customWidth="1"/>
    <col min="14602" max="14609" width="8.5703125" style="144" bestFit="1" customWidth="1"/>
    <col min="14610" max="14610" width="10.140625" style="144" bestFit="1" customWidth="1"/>
    <col min="14611" max="14611" width="10.28515625" style="144" customWidth="1"/>
    <col min="14612" max="14612" width="9.28515625" style="144" bestFit="1" customWidth="1"/>
    <col min="14613" max="14613" width="10" style="144" bestFit="1" customWidth="1"/>
    <col min="14614" max="14614" width="94.140625" style="144" bestFit="1" customWidth="1"/>
    <col min="14615" max="14849" width="9.140625" style="144"/>
    <col min="14850" max="14850" width="6.42578125" style="144" customWidth="1"/>
    <col min="14851" max="14851" width="6.5703125" style="144" bestFit="1" customWidth="1"/>
    <col min="14852" max="14852" width="5.5703125" style="144" bestFit="1" customWidth="1"/>
    <col min="14853" max="14853" width="27.28515625" style="144" bestFit="1" customWidth="1"/>
    <col min="14854" max="14854" width="10.5703125" style="144" bestFit="1" customWidth="1"/>
    <col min="14855" max="14855" width="9.140625" style="144"/>
    <col min="14856" max="14856" width="14.85546875" style="144" bestFit="1" customWidth="1"/>
    <col min="14857" max="14857" width="6.28515625" style="144" customWidth="1"/>
    <col min="14858" max="14865" width="8.5703125" style="144" bestFit="1" customWidth="1"/>
    <col min="14866" max="14866" width="10.140625" style="144" bestFit="1" customWidth="1"/>
    <col min="14867" max="14867" width="10.28515625" style="144" customWidth="1"/>
    <col min="14868" max="14868" width="9.28515625" style="144" bestFit="1" customWidth="1"/>
    <col min="14869" max="14869" width="10" style="144" bestFit="1" customWidth="1"/>
    <col min="14870" max="14870" width="94.140625" style="144" bestFit="1" customWidth="1"/>
    <col min="14871" max="15105" width="9.140625" style="144"/>
    <col min="15106" max="15106" width="6.42578125" style="144" customWidth="1"/>
    <col min="15107" max="15107" width="6.5703125" style="144" bestFit="1" customWidth="1"/>
    <col min="15108" max="15108" width="5.5703125" style="144" bestFit="1" customWidth="1"/>
    <col min="15109" max="15109" width="27.28515625" style="144" bestFit="1" customWidth="1"/>
    <col min="15110" max="15110" width="10.5703125" style="144" bestFit="1" customWidth="1"/>
    <col min="15111" max="15111" width="9.140625" style="144"/>
    <col min="15112" max="15112" width="14.85546875" style="144" bestFit="1" customWidth="1"/>
    <col min="15113" max="15113" width="6.28515625" style="144" customWidth="1"/>
    <col min="15114" max="15121" width="8.5703125" style="144" bestFit="1" customWidth="1"/>
    <col min="15122" max="15122" width="10.140625" style="144" bestFit="1" customWidth="1"/>
    <col min="15123" max="15123" width="10.28515625" style="144" customWidth="1"/>
    <col min="15124" max="15124" width="9.28515625" style="144" bestFit="1" customWidth="1"/>
    <col min="15125" max="15125" width="10" style="144" bestFit="1" customWidth="1"/>
    <col min="15126" max="15126" width="94.140625" style="144" bestFit="1" customWidth="1"/>
    <col min="15127" max="15361" width="9.140625" style="144"/>
    <col min="15362" max="15362" width="6.42578125" style="144" customWidth="1"/>
    <col min="15363" max="15363" width="6.5703125" style="144" bestFit="1" customWidth="1"/>
    <col min="15364" max="15364" width="5.5703125" style="144" bestFit="1" customWidth="1"/>
    <col min="15365" max="15365" width="27.28515625" style="144" bestFit="1" customWidth="1"/>
    <col min="15366" max="15366" width="10.5703125" style="144" bestFit="1" customWidth="1"/>
    <col min="15367" max="15367" width="9.140625" style="144"/>
    <col min="15368" max="15368" width="14.85546875" style="144" bestFit="1" customWidth="1"/>
    <col min="15369" max="15369" width="6.28515625" style="144" customWidth="1"/>
    <col min="15370" max="15377" width="8.5703125" style="144" bestFit="1" customWidth="1"/>
    <col min="15378" max="15378" width="10.140625" style="144" bestFit="1" customWidth="1"/>
    <col min="15379" max="15379" width="10.28515625" style="144" customWidth="1"/>
    <col min="15380" max="15380" width="9.28515625" style="144" bestFit="1" customWidth="1"/>
    <col min="15381" max="15381" width="10" style="144" bestFit="1" customWidth="1"/>
    <col min="15382" max="15382" width="94.140625" style="144" bestFit="1" customWidth="1"/>
    <col min="15383" max="15617" width="9.140625" style="144"/>
    <col min="15618" max="15618" width="6.42578125" style="144" customWidth="1"/>
    <col min="15619" max="15619" width="6.5703125" style="144" bestFit="1" customWidth="1"/>
    <col min="15620" max="15620" width="5.5703125" style="144" bestFit="1" customWidth="1"/>
    <col min="15621" max="15621" width="27.28515625" style="144" bestFit="1" customWidth="1"/>
    <col min="15622" max="15622" width="10.5703125" style="144" bestFit="1" customWidth="1"/>
    <col min="15623" max="15623" width="9.140625" style="144"/>
    <col min="15624" max="15624" width="14.85546875" style="144" bestFit="1" customWidth="1"/>
    <col min="15625" max="15625" width="6.28515625" style="144" customWidth="1"/>
    <col min="15626" max="15633" width="8.5703125" style="144" bestFit="1" customWidth="1"/>
    <col min="15634" max="15634" width="10.140625" style="144" bestFit="1" customWidth="1"/>
    <col min="15635" max="15635" width="10.28515625" style="144" customWidth="1"/>
    <col min="15636" max="15636" width="9.28515625" style="144" bestFit="1" customWidth="1"/>
    <col min="15637" max="15637" width="10" style="144" bestFit="1" customWidth="1"/>
    <col min="15638" max="15638" width="94.140625" style="144" bestFit="1" customWidth="1"/>
    <col min="15639" max="15873" width="9.140625" style="144"/>
    <col min="15874" max="15874" width="6.42578125" style="144" customWidth="1"/>
    <col min="15875" max="15875" width="6.5703125" style="144" bestFit="1" customWidth="1"/>
    <col min="15876" max="15876" width="5.5703125" style="144" bestFit="1" customWidth="1"/>
    <col min="15877" max="15877" width="27.28515625" style="144" bestFit="1" customWidth="1"/>
    <col min="15878" max="15878" width="10.5703125" style="144" bestFit="1" customWidth="1"/>
    <col min="15879" max="15879" width="9.140625" style="144"/>
    <col min="15880" max="15880" width="14.85546875" style="144" bestFit="1" customWidth="1"/>
    <col min="15881" max="15881" width="6.28515625" style="144" customWidth="1"/>
    <col min="15882" max="15889" width="8.5703125" style="144" bestFit="1" customWidth="1"/>
    <col min="15890" max="15890" width="10.140625" style="144" bestFit="1" customWidth="1"/>
    <col min="15891" max="15891" width="10.28515625" style="144" customWidth="1"/>
    <col min="15892" max="15892" width="9.28515625" style="144" bestFit="1" customWidth="1"/>
    <col min="15893" max="15893" width="10" style="144" bestFit="1" customWidth="1"/>
    <col min="15894" max="15894" width="94.140625" style="144" bestFit="1" customWidth="1"/>
    <col min="15895" max="16129" width="9.140625" style="144"/>
    <col min="16130" max="16130" width="6.42578125" style="144" customWidth="1"/>
    <col min="16131" max="16131" width="6.5703125" style="144" bestFit="1" customWidth="1"/>
    <col min="16132" max="16132" width="5.5703125" style="144" bestFit="1" customWidth="1"/>
    <col min="16133" max="16133" width="27.28515625" style="144" bestFit="1" customWidth="1"/>
    <col min="16134" max="16134" width="10.5703125" style="144" bestFit="1" customWidth="1"/>
    <col min="16135" max="16135" width="9.140625" style="144"/>
    <col min="16136" max="16136" width="14.85546875" style="144" bestFit="1" customWidth="1"/>
    <col min="16137" max="16137" width="6.28515625" style="144" customWidth="1"/>
    <col min="16138" max="16145" width="8.5703125" style="144" bestFit="1" customWidth="1"/>
    <col min="16146" max="16146" width="10.140625" style="144" bestFit="1" customWidth="1"/>
    <col min="16147" max="16147" width="10.28515625" style="144" customWidth="1"/>
    <col min="16148" max="16148" width="9.28515625" style="144" bestFit="1" customWidth="1"/>
    <col min="16149" max="16149" width="10" style="144" bestFit="1" customWidth="1"/>
    <col min="16150" max="16150" width="94.140625" style="144" bestFit="1" customWidth="1"/>
    <col min="16151" max="16384" width="9.140625" style="144"/>
  </cols>
  <sheetData>
    <row r="1" spans="2:31" x14ac:dyDescent="0.2">
      <c r="J1" s="181">
        <v>0.20499999999999999</v>
      </c>
      <c r="K1" s="181">
        <v>0.20499999999999999</v>
      </c>
      <c r="L1" s="181">
        <v>0.127</v>
      </c>
      <c r="M1" s="181">
        <v>0.127</v>
      </c>
      <c r="N1" s="181">
        <v>0.438</v>
      </c>
      <c r="O1" s="181">
        <v>0.438</v>
      </c>
      <c r="P1" s="181">
        <v>0.23</v>
      </c>
      <c r="Q1" s="181">
        <v>0.23</v>
      </c>
      <c r="R1" s="182"/>
    </row>
    <row r="2" spans="2:31" x14ac:dyDescent="0.2">
      <c r="J2" s="182"/>
      <c r="K2" s="182"/>
      <c r="L2" s="182"/>
      <c r="M2" s="182"/>
      <c r="N2" s="182"/>
      <c r="O2" s="182"/>
      <c r="P2" s="181">
        <v>0.157</v>
      </c>
      <c r="Q2" s="181">
        <v>0.157</v>
      </c>
      <c r="R2" s="183">
        <v>2003</v>
      </c>
    </row>
    <row r="3" spans="2:31" x14ac:dyDescent="0.2">
      <c r="J3" s="184"/>
      <c r="K3" s="183"/>
      <c r="L3" s="182"/>
      <c r="M3" s="182"/>
      <c r="N3" s="182"/>
      <c r="O3" s="182"/>
      <c r="P3" s="181">
        <v>0.187</v>
      </c>
      <c r="Q3" s="181">
        <v>0.187</v>
      </c>
      <c r="R3" s="183" t="s">
        <v>526</v>
      </c>
    </row>
    <row r="4" spans="2:31" x14ac:dyDescent="0.2">
      <c r="J4" s="184"/>
      <c r="K4" s="183"/>
      <c r="L4" s="182"/>
      <c r="M4" s="182"/>
      <c r="N4" s="182"/>
      <c r="O4" s="182"/>
      <c r="P4" s="181"/>
      <c r="Q4" s="181"/>
      <c r="R4" s="182"/>
    </row>
    <row r="5" spans="2:31" ht="13.5" thickBot="1" x14ac:dyDescent="0.25">
      <c r="H5" s="185"/>
      <c r="AB5" s="231"/>
      <c r="AC5" s="231"/>
    </row>
    <row r="6" spans="2:31" ht="15.75" thickBot="1" x14ac:dyDescent="0.3">
      <c r="B6" s="201" t="s">
        <v>48</v>
      </c>
      <c r="C6" s="196" t="s">
        <v>527</v>
      </c>
      <c r="D6" s="201" t="s">
        <v>572</v>
      </c>
      <c r="E6" s="201" t="s">
        <v>575</v>
      </c>
      <c r="F6" s="197" t="s">
        <v>565</v>
      </c>
      <c r="G6" s="197" t="s">
        <v>566</v>
      </c>
      <c r="H6" s="196" t="s">
        <v>570</v>
      </c>
      <c r="I6" s="196"/>
      <c r="J6" s="198" t="s">
        <v>128</v>
      </c>
      <c r="K6" s="196" t="s">
        <v>129</v>
      </c>
      <c r="L6" s="198" t="s">
        <v>130</v>
      </c>
      <c r="M6" s="196" t="s">
        <v>131</v>
      </c>
      <c r="N6" s="198" t="s">
        <v>132</v>
      </c>
      <c r="O6" s="196" t="s">
        <v>133</v>
      </c>
      <c r="P6" s="196" t="s">
        <v>134</v>
      </c>
      <c r="Q6" s="196" t="s">
        <v>135</v>
      </c>
      <c r="R6" s="196" t="s">
        <v>202</v>
      </c>
      <c r="S6" s="196" t="s">
        <v>528</v>
      </c>
      <c r="T6" s="199" t="s">
        <v>529</v>
      </c>
      <c r="U6" s="186"/>
      <c r="V6" s="186" t="s">
        <v>42</v>
      </c>
      <c r="W6" s="144" t="s">
        <v>528</v>
      </c>
      <c r="X6" s="144" t="s">
        <v>528</v>
      </c>
      <c r="Z6" s="240" t="s">
        <v>577</v>
      </c>
      <c r="AA6" s="241" t="s">
        <v>48</v>
      </c>
      <c r="AB6" s="242" t="s">
        <v>578</v>
      </c>
      <c r="AC6" s="243" t="s">
        <v>579</v>
      </c>
    </row>
    <row r="7" spans="2:31" ht="15" x14ac:dyDescent="0.25">
      <c r="B7" s="202">
        <v>8001</v>
      </c>
      <c r="C7" s="147" t="s">
        <v>530</v>
      </c>
      <c r="D7" s="202" t="s">
        <v>571</v>
      </c>
      <c r="E7" s="224" t="s">
        <v>573</v>
      </c>
      <c r="F7" s="230" t="s">
        <v>573</v>
      </c>
      <c r="G7" s="149" t="s">
        <v>573</v>
      </c>
      <c r="H7" s="150" t="s">
        <v>573</v>
      </c>
      <c r="I7" s="150"/>
      <c r="J7" s="151">
        <v>0</v>
      </c>
      <c r="K7" s="152">
        <v>0</v>
      </c>
      <c r="L7" s="151">
        <v>0</v>
      </c>
      <c r="M7" s="152">
        <v>0</v>
      </c>
      <c r="N7" s="151">
        <v>0</v>
      </c>
      <c r="O7" s="152">
        <v>0</v>
      </c>
      <c r="P7" s="152">
        <v>0</v>
      </c>
      <c r="Q7" s="152">
        <v>0</v>
      </c>
      <c r="R7" s="152">
        <f>J7+L7+N7+P7</f>
        <v>0</v>
      </c>
      <c r="S7" s="152">
        <f>K7+M7+O7+Q7</f>
        <v>0</v>
      </c>
      <c r="T7" s="187">
        <f>R7+S7</f>
        <v>0</v>
      </c>
      <c r="U7" s="187" t="e">
        <f>H7-T7</f>
        <v>#VALUE!</v>
      </c>
      <c r="V7" s="148" t="s">
        <v>532</v>
      </c>
      <c r="W7" s="144">
        <v>0</v>
      </c>
      <c r="X7" s="144">
        <v>0</v>
      </c>
      <c r="Z7" s="232" t="s">
        <v>530</v>
      </c>
      <c r="AA7" s="233">
        <v>8001</v>
      </c>
      <c r="AB7" s="234">
        <f>AE7/100</f>
        <v>0</v>
      </c>
      <c r="AC7" s="235">
        <v>0</v>
      </c>
      <c r="AE7">
        <v>0</v>
      </c>
    </row>
    <row r="8" spans="2:31" ht="15" x14ac:dyDescent="0.25">
      <c r="B8" s="202">
        <v>8002</v>
      </c>
      <c r="C8" s="147" t="s">
        <v>533</v>
      </c>
      <c r="D8" s="202" t="s">
        <v>575</v>
      </c>
      <c r="E8" s="202" t="s">
        <v>534</v>
      </c>
      <c r="F8" s="149">
        <v>1500</v>
      </c>
      <c r="G8" s="150" t="s">
        <v>558</v>
      </c>
      <c r="H8" s="150">
        <v>39438.426010224299</v>
      </c>
      <c r="I8" s="150"/>
      <c r="J8" s="151">
        <v>0</v>
      </c>
      <c r="K8" s="152">
        <f>[1]Attractions!Y51</f>
        <v>5018.4500000000007</v>
      </c>
      <c r="L8" s="151">
        <v>0</v>
      </c>
      <c r="M8" s="152">
        <f>($H8-K8)*([1]Attractions!Z51/SUM([1]Attractions!Z51:AA51,2*[1]Attractions!$AB51))</f>
        <v>11573.916000416839</v>
      </c>
      <c r="N8" s="151">
        <v>0</v>
      </c>
      <c r="O8" s="152">
        <f>($H8-K8)*([1]Attractions!AA51/SUM([1]Attractions!$Z51:$AA51,2*[1]Attractions!$AB51))</f>
        <v>2856.3344079318586</v>
      </c>
      <c r="P8" s="152">
        <f>Q8</f>
        <v>9994.8628009378044</v>
      </c>
      <c r="Q8" s="152">
        <f>($H8-K8)*([1]Attractions!AB51/SUM([1]Attractions!$Z51:$AA51,2*[1]Attractions!$AB51))</f>
        <v>9994.8628009378044</v>
      </c>
      <c r="R8" s="152">
        <f>J8+L8+N8+Q8</f>
        <v>9994.8628009378044</v>
      </c>
      <c r="S8" s="152">
        <f>K8+M8+O8+P8</f>
        <v>29443.563209286505</v>
      </c>
      <c r="T8" s="187">
        <f>R8+S8</f>
        <v>39438.426010224313</v>
      </c>
      <c r="U8" s="187">
        <f>H8-T8</f>
        <v>0</v>
      </c>
      <c r="V8" s="147"/>
      <c r="Z8" s="232" t="s">
        <v>533</v>
      </c>
      <c r="AA8" s="233">
        <v>8002</v>
      </c>
      <c r="AB8" s="234">
        <f t="shared" ref="AB8:AB22" si="0">AE8/100</f>
        <v>0</v>
      </c>
      <c r="AC8" s="235">
        <v>0</v>
      </c>
      <c r="AE8">
        <v>0</v>
      </c>
    </row>
    <row r="9" spans="2:31" ht="15" x14ac:dyDescent="0.25">
      <c r="B9" s="202">
        <v>8003</v>
      </c>
      <c r="C9" s="147" t="s">
        <v>535</v>
      </c>
      <c r="D9" s="202" t="s">
        <v>575</v>
      </c>
      <c r="E9" s="202" t="s">
        <v>536</v>
      </c>
      <c r="F9" s="149">
        <f>11972*0.75</f>
        <v>8979</v>
      </c>
      <c r="G9" s="150" t="s">
        <v>559</v>
      </c>
      <c r="H9" s="150">
        <v>11388.785561441437</v>
      </c>
      <c r="I9" s="150"/>
      <c r="J9" s="151">
        <v>0</v>
      </c>
      <c r="K9" s="153">
        <f>[1]Attractions!Y52</f>
        <v>2298.25</v>
      </c>
      <c r="L9" s="151">
        <v>0</v>
      </c>
      <c r="M9" s="154">
        <v>0</v>
      </c>
      <c r="N9" s="151">
        <v>0</v>
      </c>
      <c r="O9" s="152">
        <f>H9-(K9+P9+Q9)</f>
        <v>1419.1355614414369</v>
      </c>
      <c r="P9" s="152">
        <f>Q9</f>
        <v>3835.7</v>
      </c>
      <c r="Q9" s="152">
        <f>[1]Attractions!AB52</f>
        <v>3835.7</v>
      </c>
      <c r="R9" s="152">
        <f>J9+L9+N9+P9</f>
        <v>3835.7</v>
      </c>
      <c r="S9" s="152">
        <f>K9+M9+O9+Q9</f>
        <v>7553.0855614414368</v>
      </c>
      <c r="T9" s="187">
        <f>R9+S9</f>
        <v>11388.785561441437</v>
      </c>
      <c r="U9" s="187">
        <f>H9-T9</f>
        <v>0</v>
      </c>
      <c r="V9" s="147"/>
      <c r="W9" s="144">
        <v>29443.563209286505</v>
      </c>
      <c r="X9" s="144">
        <v>29443.563209286505</v>
      </c>
      <c r="Z9" s="232" t="s">
        <v>535</v>
      </c>
      <c r="AA9" s="233">
        <v>8003</v>
      </c>
      <c r="AB9" s="234">
        <f t="shared" si="0"/>
        <v>0</v>
      </c>
      <c r="AC9" s="235">
        <v>0</v>
      </c>
      <c r="AE9">
        <v>0</v>
      </c>
    </row>
    <row r="10" spans="2:31" ht="15" x14ac:dyDescent="0.25">
      <c r="B10" s="202">
        <v>8004</v>
      </c>
      <c r="C10" s="147" t="s">
        <v>537</v>
      </c>
      <c r="D10" s="202" t="s">
        <v>575</v>
      </c>
      <c r="E10" s="202" t="s">
        <v>538</v>
      </c>
      <c r="F10" s="149">
        <v>882</v>
      </c>
      <c r="G10" s="155" t="s">
        <v>573</v>
      </c>
      <c r="H10" s="155">
        <v>5590.7</v>
      </c>
      <c r="I10" s="155"/>
      <c r="J10" s="151">
        <v>0</v>
      </c>
      <c r="K10" s="152">
        <f>[1]Attractions!Y53</f>
        <v>2447.6</v>
      </c>
      <c r="L10" s="151">
        <v>0</v>
      </c>
      <c r="M10" s="154">
        <v>0</v>
      </c>
      <c r="N10" s="151">
        <v>0</v>
      </c>
      <c r="O10" s="153">
        <f>(H10-K10)*(O1/(O1+Q1))</f>
        <v>2060.8949101796406</v>
      </c>
      <c r="P10" s="152">
        <f>(H10-(K10+O10))/2</f>
        <v>541.1025449101794</v>
      </c>
      <c r="Q10" s="152">
        <f>P10</f>
        <v>541.1025449101794</v>
      </c>
      <c r="R10" s="152">
        <f>J10+L10+N10+P10</f>
        <v>541.1025449101794</v>
      </c>
      <c r="S10" s="152">
        <f>K10+M10+O10+Q10</f>
        <v>5049.5974550898209</v>
      </c>
      <c r="T10" s="187">
        <f>R10+S10</f>
        <v>5590.7000000000007</v>
      </c>
      <c r="U10" s="187">
        <f>H10-T10</f>
        <v>0</v>
      </c>
      <c r="V10" s="147"/>
      <c r="Z10" s="232" t="s">
        <v>537</v>
      </c>
      <c r="AA10" s="233">
        <v>8004</v>
      </c>
      <c r="AB10" s="234">
        <f t="shared" si="0"/>
        <v>0</v>
      </c>
      <c r="AC10" s="235">
        <v>0</v>
      </c>
      <c r="AE10">
        <v>0</v>
      </c>
    </row>
    <row r="11" spans="2:31" ht="15" x14ac:dyDescent="0.25">
      <c r="B11" s="214"/>
      <c r="C11" s="222" t="s">
        <v>539</v>
      </c>
      <c r="D11" s="228" t="s">
        <v>573</v>
      </c>
      <c r="E11" s="214" t="s">
        <v>538</v>
      </c>
      <c r="F11" s="216">
        <v>526</v>
      </c>
      <c r="G11" s="217" t="s">
        <v>567</v>
      </c>
      <c r="H11" s="217" t="s">
        <v>573</v>
      </c>
      <c r="I11" s="217"/>
      <c r="J11" s="217"/>
      <c r="K11" s="217"/>
      <c r="L11" s="217"/>
      <c r="M11" s="217"/>
      <c r="N11" s="217"/>
      <c r="O11" s="218"/>
      <c r="P11" s="218"/>
      <c r="Q11" s="218"/>
      <c r="R11" s="219"/>
      <c r="S11" s="219"/>
      <c r="T11" s="218"/>
      <c r="U11" s="220"/>
      <c r="V11" s="215"/>
      <c r="W11" s="144">
        <v>7553.0855614414368</v>
      </c>
      <c r="X11" s="144">
        <v>7553.0855614414368</v>
      </c>
      <c r="Z11" s="232" t="s">
        <v>541</v>
      </c>
      <c r="AA11" s="233">
        <v>8005</v>
      </c>
      <c r="AB11" s="234">
        <f t="shared" si="0"/>
        <v>0.03</v>
      </c>
      <c r="AC11" s="235">
        <v>0</v>
      </c>
      <c r="AE11">
        <v>3</v>
      </c>
    </row>
    <row r="12" spans="2:31" ht="15" x14ac:dyDescent="0.25">
      <c r="B12" s="214"/>
      <c r="C12" s="222" t="s">
        <v>540</v>
      </c>
      <c r="D12" s="228" t="s">
        <v>573</v>
      </c>
      <c r="E12" s="214" t="s">
        <v>538</v>
      </c>
      <c r="F12" s="216">
        <v>356</v>
      </c>
      <c r="G12" s="217" t="s">
        <v>568</v>
      </c>
      <c r="H12" s="217" t="s">
        <v>573</v>
      </c>
      <c r="I12" s="217"/>
      <c r="J12" s="217"/>
      <c r="K12" s="217"/>
      <c r="L12" s="217"/>
      <c r="M12" s="217"/>
      <c r="N12" s="217"/>
      <c r="O12" s="218"/>
      <c r="P12" s="218"/>
      <c r="Q12" s="218"/>
      <c r="R12" s="219"/>
      <c r="S12" s="219"/>
      <c r="T12" s="218"/>
      <c r="U12" s="220"/>
      <c r="V12" s="215"/>
      <c r="Z12" s="232" t="s">
        <v>543</v>
      </c>
      <c r="AA12" s="233">
        <v>8006</v>
      </c>
      <c r="AB12" s="234">
        <f t="shared" si="0"/>
        <v>0.03</v>
      </c>
      <c r="AC12" s="235">
        <v>0</v>
      </c>
      <c r="AE12">
        <v>3</v>
      </c>
    </row>
    <row r="13" spans="2:31" s="156" customFormat="1" ht="15" x14ac:dyDescent="0.25">
      <c r="B13" s="203">
        <v>8005</v>
      </c>
      <c r="C13" s="157" t="s">
        <v>541</v>
      </c>
      <c r="D13" s="202" t="s">
        <v>575</v>
      </c>
      <c r="E13" s="203" t="s">
        <v>538</v>
      </c>
      <c r="F13" s="159">
        <v>820</v>
      </c>
      <c r="G13" s="160" t="s">
        <v>560</v>
      </c>
      <c r="H13" s="160">
        <v>1892.0699999999997</v>
      </c>
      <c r="I13" s="160"/>
      <c r="J13" s="188">
        <f>[1]Productions!U54</f>
        <v>109.91108399999999</v>
      </c>
      <c r="K13" s="151">
        <f>1000*[1]Attractions!L3</f>
        <v>1450</v>
      </c>
      <c r="L13" s="188">
        <f>[1]Productions!V54</f>
        <v>198.54355600000002</v>
      </c>
      <c r="M13" s="161">
        <v>0</v>
      </c>
      <c r="N13" s="188">
        <f>[1]Productions!W54</f>
        <v>237.69802200000001</v>
      </c>
      <c r="O13" s="162">
        <f>(H13-K13)*(O1/(O1+Q1))</f>
        <v>289.86026946107768</v>
      </c>
      <c r="P13" s="151">
        <f>(H13-(K13+O13))/2</f>
        <v>76.104865269461015</v>
      </c>
      <c r="Q13" s="151">
        <f>P13</f>
        <v>76.104865269461015</v>
      </c>
      <c r="R13" s="151">
        <f>J13+L13+N13+P13</f>
        <v>622.25752726946109</v>
      </c>
      <c r="S13" s="151">
        <f>K13+M13+O13+Q13</f>
        <v>1815.9651347305387</v>
      </c>
      <c r="T13" s="189">
        <f>R13+S13</f>
        <v>2438.2226619999997</v>
      </c>
      <c r="U13" s="189">
        <f>H13-T13</f>
        <v>-546.15266199999996</v>
      </c>
      <c r="V13" s="158" t="s">
        <v>542</v>
      </c>
      <c r="W13" s="156">
        <v>5049.5974550898209</v>
      </c>
      <c r="X13" s="156">
        <v>5049.5974550898209</v>
      </c>
      <c r="Z13" s="232" t="s">
        <v>545</v>
      </c>
      <c r="AA13" s="233">
        <v>8007</v>
      </c>
      <c r="AB13" s="234">
        <f t="shared" si="0"/>
        <v>0.2</v>
      </c>
      <c r="AC13" s="235">
        <v>0</v>
      </c>
      <c r="AE13">
        <v>20</v>
      </c>
    </row>
    <row r="14" spans="2:31" s="156" customFormat="1" ht="15" x14ac:dyDescent="0.25">
      <c r="B14" s="204">
        <v>8006</v>
      </c>
      <c r="C14" s="190" t="s">
        <v>543</v>
      </c>
      <c r="D14" s="204" t="s">
        <v>574</v>
      </c>
      <c r="E14" s="204" t="s">
        <v>573</v>
      </c>
      <c r="F14" s="191" t="s">
        <v>573</v>
      </c>
      <c r="G14" s="192" t="s">
        <v>573</v>
      </c>
      <c r="H14" s="192">
        <f>X19</f>
        <v>2891.29</v>
      </c>
      <c r="I14" s="192"/>
      <c r="J14" s="188">
        <f>[1]Productions!U55</f>
        <v>901.89736499999992</v>
      </c>
      <c r="K14" s="188">
        <f>[1]Attractions!Y55</f>
        <v>443.70000000000005</v>
      </c>
      <c r="L14" s="188">
        <f>[1]Productions!V55</f>
        <v>1247.0168110000002</v>
      </c>
      <c r="M14" s="188">
        <f>[1]Attractions!Z16</f>
        <v>0</v>
      </c>
      <c r="N14" s="188">
        <f>[1]Productions!W55</f>
        <v>2220.2328259999995</v>
      </c>
      <c r="O14" s="188">
        <f>[1]Attractions!AA16</f>
        <v>1468.1399999999999</v>
      </c>
      <c r="P14" s="188">
        <f>Q14</f>
        <v>979.45</v>
      </c>
      <c r="Q14" s="188">
        <f>[1]Attractions!AB16</f>
        <v>979.45</v>
      </c>
      <c r="R14" s="188">
        <f>J14+L14+N14+P14</f>
        <v>5348.5970019999995</v>
      </c>
      <c r="S14" s="188">
        <f>K14+M14+O14+Q14</f>
        <v>2891.29</v>
      </c>
      <c r="T14" s="189"/>
      <c r="U14" s="189"/>
      <c r="V14" s="193" t="s">
        <v>544</v>
      </c>
      <c r="Z14" s="232" t="s">
        <v>545</v>
      </c>
      <c r="AA14" s="233">
        <v>8008</v>
      </c>
      <c r="AB14" s="234">
        <f t="shared" si="0"/>
        <v>0.2</v>
      </c>
      <c r="AC14" s="235">
        <v>0</v>
      </c>
      <c r="AE14">
        <v>20</v>
      </c>
    </row>
    <row r="15" spans="2:31" ht="15" x14ac:dyDescent="0.25">
      <c r="B15" s="202">
        <v>8007</v>
      </c>
      <c r="C15" s="147" t="s">
        <v>545</v>
      </c>
      <c r="D15" s="202" t="s">
        <v>575</v>
      </c>
      <c r="E15" s="202" t="s">
        <v>573</v>
      </c>
      <c r="F15" s="149" t="s">
        <v>573</v>
      </c>
      <c r="G15" s="150" t="s">
        <v>576</v>
      </c>
      <c r="H15" s="150">
        <v>23.084976814098543</v>
      </c>
      <c r="I15" s="150"/>
      <c r="J15" s="151">
        <v>0</v>
      </c>
      <c r="K15" s="152">
        <f>$H15*([1]Attractions!Y56/[1]Attractions!$AC56)</f>
        <v>10.082294090494845</v>
      </c>
      <c r="L15" s="151">
        <v>0</v>
      </c>
      <c r="M15" s="152">
        <f>$H15*([1]Attractions!Z56/[1]Attractions!$AC56)</f>
        <v>0</v>
      </c>
      <c r="N15" s="151">
        <v>0</v>
      </c>
      <c r="O15" s="152">
        <f>$H15*([1]Attractions!AA56/[1]Attractions!$AC56)</f>
        <v>0</v>
      </c>
      <c r="P15" s="152">
        <f>Q15</f>
        <v>6.5013413618018472</v>
      </c>
      <c r="Q15" s="152">
        <f>$H15*([1]Attractions!AB56/[1]Attractions!$AC56)/2</f>
        <v>6.5013413618018472</v>
      </c>
      <c r="R15" s="152">
        <f t="shared" ref="R15:S17" si="1">J15+L15+N15+P15</f>
        <v>6.5013413618018472</v>
      </c>
      <c r="S15" s="152">
        <f t="shared" si="1"/>
        <v>16.58363545229669</v>
      </c>
      <c r="T15" s="187">
        <f>R15+S15</f>
        <v>23.084976814098539</v>
      </c>
      <c r="U15" s="187">
        <f>H15-T15</f>
        <v>0</v>
      </c>
      <c r="V15" s="194"/>
      <c r="Z15" s="232" t="s">
        <v>545</v>
      </c>
      <c r="AA15" s="233">
        <v>8009</v>
      </c>
      <c r="AB15" s="234">
        <f t="shared" si="0"/>
        <v>0.2</v>
      </c>
      <c r="AC15" s="235">
        <v>0</v>
      </c>
      <c r="AE15">
        <v>20</v>
      </c>
    </row>
    <row r="16" spans="2:31" ht="15" x14ac:dyDescent="0.25">
      <c r="B16" s="202">
        <v>8008</v>
      </c>
      <c r="C16" s="147" t="s">
        <v>545</v>
      </c>
      <c r="D16" s="202" t="s">
        <v>575</v>
      </c>
      <c r="E16" s="202" t="s">
        <v>573</v>
      </c>
      <c r="F16" s="149" t="s">
        <v>573</v>
      </c>
      <c r="G16" s="150" t="s">
        <v>576</v>
      </c>
      <c r="H16" s="150">
        <v>17505.912062562871</v>
      </c>
      <c r="I16" s="150"/>
      <c r="J16" s="151">
        <v>0</v>
      </c>
      <c r="K16" s="152">
        <f>$H16*([1]Attractions!Y57/[1]Attractions!$AC57)</f>
        <v>3292.5891844101729</v>
      </c>
      <c r="L16" s="151">
        <v>0</v>
      </c>
      <c r="M16" s="152">
        <f>$H16*([1]Attractions!Z57/[1]Attractions!$AC57)</f>
        <v>0</v>
      </c>
      <c r="N16" s="151">
        <v>0</v>
      </c>
      <c r="O16" s="152">
        <f>$H16*([1]Attractions!AA57/[1]Attractions!$AC57)</f>
        <v>8504.5888979891333</v>
      </c>
      <c r="P16" s="152">
        <f t="shared" ref="P16:P17" si="2">Q16</f>
        <v>2854.3669900817836</v>
      </c>
      <c r="Q16" s="152">
        <f>$H16*([1]Attractions!AB57/[1]Attractions!$AC57)/2</f>
        <v>2854.3669900817836</v>
      </c>
      <c r="R16" s="152">
        <f t="shared" si="1"/>
        <v>2854.3669900817836</v>
      </c>
      <c r="S16" s="152">
        <f t="shared" si="1"/>
        <v>14651.545072481091</v>
      </c>
      <c r="T16" s="187">
        <f>R16+S16</f>
        <v>17505.912062562875</v>
      </c>
      <c r="U16" s="187">
        <f>H16-T16</f>
        <v>0</v>
      </c>
      <c r="V16" s="194"/>
      <c r="Z16" s="232" t="s">
        <v>547</v>
      </c>
      <c r="AA16" s="233">
        <v>8010</v>
      </c>
      <c r="AB16" s="234">
        <f t="shared" si="0"/>
        <v>2.5000000000000001E-2</v>
      </c>
      <c r="AC16" s="235">
        <v>0</v>
      </c>
      <c r="AE16">
        <v>2.5</v>
      </c>
    </row>
    <row r="17" spans="2:31" ht="15" x14ac:dyDescent="0.25">
      <c r="B17" s="202">
        <v>8009</v>
      </c>
      <c r="C17" s="147" t="s">
        <v>545</v>
      </c>
      <c r="D17" s="202" t="s">
        <v>575</v>
      </c>
      <c r="E17" s="202" t="s">
        <v>573</v>
      </c>
      <c r="F17" s="149" t="s">
        <v>573</v>
      </c>
      <c r="G17" s="150" t="s">
        <v>576</v>
      </c>
      <c r="H17" s="150">
        <v>3452.8529606230245</v>
      </c>
      <c r="I17" s="150"/>
      <c r="J17" s="151">
        <v>0</v>
      </c>
      <c r="K17" s="152">
        <f>$H17*([1]Attractions!Y58/[1]Attractions!$AC58)</f>
        <v>1508.0231303925859</v>
      </c>
      <c r="L17" s="151">
        <v>0</v>
      </c>
      <c r="M17" s="152">
        <f>$H17*([1]Attractions!Z58/[1]Attractions!$AC58)</f>
        <v>0</v>
      </c>
      <c r="N17" s="151">
        <v>0</v>
      </c>
      <c r="O17" s="152">
        <f>$H17*([1]Attractions!AA58/[1]Attractions!$AC58)</f>
        <v>0</v>
      </c>
      <c r="P17" s="152">
        <f t="shared" si="2"/>
        <v>972.41491511521929</v>
      </c>
      <c r="Q17" s="152">
        <f>$H17*([1]Attractions!AB58/[1]Attractions!$AC58)/2</f>
        <v>972.41491511521929</v>
      </c>
      <c r="R17" s="152">
        <f t="shared" si="1"/>
        <v>972.41491511521929</v>
      </c>
      <c r="S17" s="152">
        <f t="shared" si="1"/>
        <v>2480.4380455078053</v>
      </c>
      <c r="T17" s="187">
        <f>R17+S17</f>
        <v>3452.8529606230245</v>
      </c>
      <c r="U17" s="187">
        <f>H17-T17</f>
        <v>0</v>
      </c>
      <c r="V17" s="194"/>
      <c r="W17" s="144">
        <v>1815.9651347305387</v>
      </c>
      <c r="X17" s="144">
        <v>1815.9651347305387</v>
      </c>
      <c r="Z17" s="232" t="s">
        <v>548</v>
      </c>
      <c r="AA17" s="233">
        <v>8011</v>
      </c>
      <c r="AB17" s="234">
        <f t="shared" si="0"/>
        <v>0.15</v>
      </c>
      <c r="AC17" s="235">
        <v>0.27104673507367838</v>
      </c>
      <c r="AE17">
        <v>15</v>
      </c>
    </row>
    <row r="18" spans="2:31" ht="15" x14ac:dyDescent="0.25">
      <c r="B18" s="214"/>
      <c r="C18" s="223" t="s">
        <v>545</v>
      </c>
      <c r="D18" s="214" t="s">
        <v>573</v>
      </c>
      <c r="E18" s="214" t="s">
        <v>531</v>
      </c>
      <c r="F18" s="216">
        <v>2615</v>
      </c>
      <c r="G18" s="221" t="s">
        <v>561</v>
      </c>
      <c r="H18" s="221" t="s">
        <v>573</v>
      </c>
      <c r="I18" s="221"/>
      <c r="J18" s="221"/>
      <c r="K18" s="221"/>
      <c r="L18" s="221"/>
      <c r="M18" s="221"/>
      <c r="N18" s="221"/>
      <c r="O18" s="221"/>
      <c r="P18" s="218"/>
      <c r="Q18" s="219"/>
      <c r="R18" s="219"/>
      <c r="S18" s="219"/>
      <c r="T18" s="218"/>
      <c r="U18" s="220"/>
      <c r="V18" s="215"/>
      <c r="Z18" s="232" t="s">
        <v>550</v>
      </c>
      <c r="AA18" s="233">
        <v>8012</v>
      </c>
      <c r="AB18" s="234">
        <f t="shared" si="0"/>
        <v>0.15</v>
      </c>
      <c r="AC18" s="235">
        <v>1</v>
      </c>
      <c r="AE18">
        <v>15</v>
      </c>
    </row>
    <row r="19" spans="2:31" ht="15" x14ac:dyDescent="0.25">
      <c r="B19" s="214"/>
      <c r="C19" s="223" t="s">
        <v>545</v>
      </c>
      <c r="D19" s="214" t="s">
        <v>573</v>
      </c>
      <c r="E19" s="214" t="s">
        <v>531</v>
      </c>
      <c r="F19" s="216">
        <v>80</v>
      </c>
      <c r="G19" s="221" t="s">
        <v>562</v>
      </c>
      <c r="H19" s="221" t="s">
        <v>573</v>
      </c>
      <c r="I19" s="221"/>
      <c r="J19" s="221"/>
      <c r="K19" s="221"/>
      <c r="L19" s="221"/>
      <c r="M19" s="221"/>
      <c r="N19" s="221"/>
      <c r="O19" s="221"/>
      <c r="P19" s="218"/>
      <c r="Q19" s="219"/>
      <c r="R19" s="219"/>
      <c r="S19" s="219"/>
      <c r="T19" s="218"/>
      <c r="U19" s="220"/>
      <c r="V19" s="215"/>
      <c r="W19" s="144">
        <v>2891.29</v>
      </c>
      <c r="X19" s="144">
        <v>2891.29</v>
      </c>
      <c r="Z19" s="232" t="s">
        <v>551</v>
      </c>
      <c r="AA19" s="233">
        <v>8013</v>
      </c>
      <c r="AB19" s="234">
        <f t="shared" si="0"/>
        <v>0.15</v>
      </c>
      <c r="AC19" s="235">
        <v>0</v>
      </c>
      <c r="AE19">
        <v>15</v>
      </c>
    </row>
    <row r="20" spans="2:31" ht="15" x14ac:dyDescent="0.25">
      <c r="B20" s="214"/>
      <c r="C20" s="223" t="s">
        <v>545</v>
      </c>
      <c r="D20" s="214" t="s">
        <v>573</v>
      </c>
      <c r="E20" s="214" t="s">
        <v>546</v>
      </c>
      <c r="F20" s="216">
        <v>225</v>
      </c>
      <c r="G20" s="221" t="s">
        <v>563</v>
      </c>
      <c r="H20" s="221" t="s">
        <v>573</v>
      </c>
      <c r="I20" s="221"/>
      <c r="J20" s="221"/>
      <c r="K20" s="221"/>
      <c r="L20" s="221"/>
      <c r="M20" s="221"/>
      <c r="N20" s="221"/>
      <c r="O20" s="221"/>
      <c r="P20" s="218"/>
      <c r="Q20" s="219"/>
      <c r="R20" s="219"/>
      <c r="S20" s="219"/>
      <c r="T20" s="218"/>
      <c r="U20" s="220"/>
      <c r="V20" s="215"/>
      <c r="Z20" s="232" t="s">
        <v>553</v>
      </c>
      <c r="AA20" s="233">
        <v>8014</v>
      </c>
      <c r="AB20" s="234">
        <f t="shared" si="0"/>
        <v>0.15</v>
      </c>
      <c r="AC20" s="235">
        <v>0</v>
      </c>
      <c r="AE20">
        <v>15</v>
      </c>
    </row>
    <row r="21" spans="2:31" ht="15" x14ac:dyDescent="0.25">
      <c r="B21" s="202">
        <v>8010</v>
      </c>
      <c r="C21" s="147" t="s">
        <v>547</v>
      </c>
      <c r="D21" s="202" t="s">
        <v>575</v>
      </c>
      <c r="E21" s="202" t="s">
        <v>536</v>
      </c>
      <c r="F21" s="149">
        <v>3309</v>
      </c>
      <c r="G21" s="163" t="s">
        <v>564</v>
      </c>
      <c r="H21" s="163">
        <v>7819.07</v>
      </c>
      <c r="I21" s="163"/>
      <c r="J21" s="164">
        <f>[1]Productions!U59</f>
        <v>604.603836</v>
      </c>
      <c r="K21" s="152">
        <f>[1]Attractions!Y59</f>
        <v>1122.3</v>
      </c>
      <c r="L21" s="164">
        <f>[1]Productions!V59</f>
        <v>1092.1579839999999</v>
      </c>
      <c r="M21" s="152">
        <v>0</v>
      </c>
      <c r="N21" s="164">
        <f>[1]Productions!W59</f>
        <v>1307.5404080000001</v>
      </c>
      <c r="O21" s="149">
        <f>H21-(K21+P21+Q21)</f>
        <v>1232.0500000000002</v>
      </c>
      <c r="P21" s="152">
        <f>Q21</f>
        <v>2732.3599999999997</v>
      </c>
      <c r="Q21" s="152">
        <f>[1]Attractions!AB59</f>
        <v>2732.3599999999997</v>
      </c>
      <c r="R21" s="152">
        <f>J21+L21+N21+P21</f>
        <v>5736.6622279999992</v>
      </c>
      <c r="S21" s="152">
        <f>K21+M21+O21+Q21</f>
        <v>5086.71</v>
      </c>
      <c r="T21" s="187">
        <f>R21+S21</f>
        <v>10823.372228</v>
      </c>
      <c r="U21" s="187">
        <f>H21-T21</f>
        <v>-3004.3022280000005</v>
      </c>
      <c r="V21" s="147"/>
      <c r="W21" s="144">
        <v>16.58363545229669</v>
      </c>
      <c r="X21" s="144">
        <v>16.58363545229669</v>
      </c>
      <c r="Z21" s="232" t="s">
        <v>554</v>
      </c>
      <c r="AA21" s="233">
        <v>8015</v>
      </c>
      <c r="AB21" s="234">
        <f t="shared" si="0"/>
        <v>0</v>
      </c>
      <c r="AC21" s="235">
        <v>0</v>
      </c>
      <c r="AE21">
        <v>0</v>
      </c>
    </row>
    <row r="22" spans="2:31" ht="15" x14ac:dyDescent="0.25">
      <c r="B22" s="202">
        <v>8011</v>
      </c>
      <c r="C22" s="147" t="s">
        <v>548</v>
      </c>
      <c r="D22" s="204" t="s">
        <v>574</v>
      </c>
      <c r="E22" s="202" t="s">
        <v>573</v>
      </c>
      <c r="F22" s="149" t="s">
        <v>573</v>
      </c>
      <c r="G22" s="167" t="s">
        <v>573</v>
      </c>
      <c r="H22" s="167">
        <f>X30</f>
        <v>40703.004999999997</v>
      </c>
      <c r="I22" s="165"/>
      <c r="J22" s="164">
        <f>[1]Productions!U60</f>
        <v>361.06254300000001</v>
      </c>
      <c r="K22" s="152">
        <f>[1]Attractions!Y60</f>
        <v>14475.349999999997</v>
      </c>
      <c r="L22" s="164">
        <f>[1]Productions!V60</f>
        <v>652.22434199999998</v>
      </c>
      <c r="M22" s="152">
        <v>0</v>
      </c>
      <c r="N22" s="164">
        <f>[1]Productions!W60</f>
        <v>780.84827900000005</v>
      </c>
      <c r="O22" s="152">
        <f>(K22+P22+Q22)*0.25</f>
        <v>11155.109999999999</v>
      </c>
      <c r="P22" s="152">
        <f>Q22</f>
        <v>15072.545</v>
      </c>
      <c r="Q22" s="152">
        <f>[1]Attractions!AB60*0.5</f>
        <v>15072.545</v>
      </c>
      <c r="R22" s="152">
        <f t="shared" ref="R22:S22" si="3">J22+L22+N22+P22</f>
        <v>16866.680164000001</v>
      </c>
      <c r="S22" s="152">
        <f t="shared" si="3"/>
        <v>40703.004999999997</v>
      </c>
      <c r="T22" s="187">
        <f>R22+S22</f>
        <v>57569.685163999995</v>
      </c>
      <c r="U22" s="187">
        <f>H22-T22</f>
        <v>-16866.680163999998</v>
      </c>
      <c r="V22" s="166" t="s">
        <v>549</v>
      </c>
      <c r="W22" s="144">
        <v>14651.545072481091</v>
      </c>
      <c r="X22" s="144">
        <v>14651.545072481091</v>
      </c>
      <c r="Z22" s="236" t="s">
        <v>555</v>
      </c>
      <c r="AA22" s="237">
        <v>8016</v>
      </c>
      <c r="AB22" s="238">
        <f t="shared" si="0"/>
        <v>0.04</v>
      </c>
      <c r="AC22" s="239">
        <v>0</v>
      </c>
      <c r="AE22">
        <v>4</v>
      </c>
    </row>
    <row r="23" spans="2:31" x14ac:dyDescent="0.2">
      <c r="B23" s="202">
        <v>8012</v>
      </c>
      <c r="C23" s="147" t="s">
        <v>550</v>
      </c>
      <c r="D23" s="202" t="s">
        <v>575</v>
      </c>
      <c r="E23" s="202" t="s">
        <v>536</v>
      </c>
      <c r="F23" s="149">
        <v>18767.47937175</v>
      </c>
      <c r="G23" s="165" t="s">
        <v>564</v>
      </c>
      <c r="H23" s="165">
        <v>42291.478999002502</v>
      </c>
      <c r="I23" s="165"/>
      <c r="J23" s="164">
        <f>[1]Productions!U61</f>
        <v>955.72006799999986</v>
      </c>
      <c r="K23" s="152">
        <f>[1]Attractions!Y61</f>
        <v>7274.6500000000005</v>
      </c>
      <c r="L23" s="164">
        <f>[1]Productions!V61</f>
        <v>1726.4152840000002</v>
      </c>
      <c r="M23" s="152">
        <v>0</v>
      </c>
      <c r="N23" s="164">
        <f>[1]Productions!W61</f>
        <v>2066.8783980000003</v>
      </c>
      <c r="O23" s="149">
        <f>H23-(K23+P23+Q23)</f>
        <v>27210.322332335832</v>
      </c>
      <c r="P23" s="152">
        <f>Q23</f>
        <v>3903.253333333334</v>
      </c>
      <c r="Q23" s="152">
        <f>[1]Attractions!AB61*(1/3)</f>
        <v>3903.253333333334</v>
      </c>
      <c r="R23" s="152">
        <f t="shared" ref="R23:S27" si="4">J23+L23+N23+P23</f>
        <v>8652.2670833333341</v>
      </c>
      <c r="S23" s="152">
        <f t="shared" si="4"/>
        <v>38388.225665669168</v>
      </c>
      <c r="T23" s="187">
        <f>R23+S23</f>
        <v>47040.4927490025</v>
      </c>
      <c r="U23" s="187">
        <f>H23-T23</f>
        <v>-4749.0137499999983</v>
      </c>
      <c r="V23" s="147"/>
      <c r="W23" s="144">
        <v>2480.4380455078053</v>
      </c>
      <c r="X23" s="144">
        <v>2480.4380455078053</v>
      </c>
      <c r="Z23" s="200" t="s">
        <v>580</v>
      </c>
    </row>
    <row r="24" spans="2:31" x14ac:dyDescent="0.2">
      <c r="B24" s="203">
        <v>8013</v>
      </c>
      <c r="C24" s="158" t="s">
        <v>551</v>
      </c>
      <c r="D24" s="202" t="s">
        <v>571</v>
      </c>
      <c r="E24" s="203" t="s">
        <v>573</v>
      </c>
      <c r="F24" s="159" t="s">
        <v>573</v>
      </c>
      <c r="G24" s="167" t="s">
        <v>573</v>
      </c>
      <c r="H24" s="167" t="s">
        <v>573</v>
      </c>
      <c r="I24" s="167"/>
      <c r="J24" s="151">
        <v>0</v>
      </c>
      <c r="K24" s="152">
        <v>0</v>
      </c>
      <c r="L24" s="151">
        <v>0</v>
      </c>
      <c r="M24" s="152">
        <v>0</v>
      </c>
      <c r="N24" s="151">
        <v>0</v>
      </c>
      <c r="O24" s="152">
        <v>0</v>
      </c>
      <c r="P24" s="152">
        <v>0</v>
      </c>
      <c r="Q24" s="151">
        <f>P24</f>
        <v>0</v>
      </c>
      <c r="R24" s="151">
        <f t="shared" si="4"/>
        <v>0</v>
      </c>
      <c r="S24" s="151">
        <f t="shared" si="4"/>
        <v>0</v>
      </c>
      <c r="T24" s="151">
        <f>L24+N24+P24+R24</f>
        <v>0</v>
      </c>
      <c r="U24" s="151">
        <f>M24+O24+Q24+S24</f>
        <v>0</v>
      </c>
      <c r="V24" s="190" t="s">
        <v>552</v>
      </c>
    </row>
    <row r="25" spans="2:31" x14ac:dyDescent="0.2">
      <c r="B25" s="202">
        <v>8014</v>
      </c>
      <c r="C25" s="147" t="s">
        <v>553</v>
      </c>
      <c r="D25" s="202" t="s">
        <v>575</v>
      </c>
      <c r="E25" s="202" t="s">
        <v>538</v>
      </c>
      <c r="F25" s="149">
        <v>431</v>
      </c>
      <c r="G25" s="150" t="s">
        <v>568</v>
      </c>
      <c r="H25" s="150">
        <v>4931.33</v>
      </c>
      <c r="I25" s="150"/>
      <c r="J25" s="151">
        <v>0</v>
      </c>
      <c r="K25" s="152">
        <f>[1]Attractions!Y63</f>
        <v>4015.0499999999997</v>
      </c>
      <c r="L25" s="151">
        <v>0</v>
      </c>
      <c r="M25" s="146"/>
      <c r="N25" s="151">
        <v>0</v>
      </c>
      <c r="O25" s="195">
        <f>H25-(K25+P25+Q25)</f>
        <v>285.30874251496971</v>
      </c>
      <c r="P25" s="152">
        <f>(H25-K25)*(P1/(N1+P1))</f>
        <v>315.48562874251502</v>
      </c>
      <c r="Q25" s="152">
        <f>P25</f>
        <v>315.48562874251502</v>
      </c>
      <c r="R25" s="152">
        <f t="shared" si="4"/>
        <v>315.48562874251502</v>
      </c>
      <c r="S25" s="152">
        <f t="shared" si="4"/>
        <v>4615.8443712574845</v>
      </c>
      <c r="T25" s="187">
        <f>R25+S25</f>
        <v>4931.33</v>
      </c>
      <c r="U25" s="187">
        <f>H25-T25</f>
        <v>0</v>
      </c>
      <c r="V25" s="190"/>
    </row>
    <row r="26" spans="2:31" x14ac:dyDescent="0.2">
      <c r="B26" s="203">
        <v>8015</v>
      </c>
      <c r="C26" s="158" t="s">
        <v>554</v>
      </c>
      <c r="D26" s="202" t="s">
        <v>571</v>
      </c>
      <c r="E26" s="203" t="s">
        <v>573</v>
      </c>
      <c r="F26" s="159" t="s">
        <v>573</v>
      </c>
      <c r="G26" s="160" t="s">
        <v>573</v>
      </c>
      <c r="H26" s="160" t="s">
        <v>573</v>
      </c>
      <c r="I26" s="160"/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f>P26</f>
        <v>0</v>
      </c>
      <c r="R26" s="151">
        <f t="shared" si="4"/>
        <v>0</v>
      </c>
      <c r="S26" s="151">
        <f t="shared" si="4"/>
        <v>0</v>
      </c>
      <c r="T26" s="151">
        <v>0</v>
      </c>
      <c r="U26" s="151">
        <v>0</v>
      </c>
      <c r="V26" s="190" t="s">
        <v>552</v>
      </c>
    </row>
    <row r="27" spans="2:31" ht="13.5" thickBot="1" x14ac:dyDescent="0.25">
      <c r="B27" s="205">
        <v>8016</v>
      </c>
      <c r="C27" s="206" t="s">
        <v>555</v>
      </c>
      <c r="D27" s="229" t="s">
        <v>575</v>
      </c>
      <c r="E27" s="205" t="s">
        <v>531</v>
      </c>
      <c r="F27" s="207">
        <v>1300</v>
      </c>
      <c r="G27" s="208" t="s">
        <v>569</v>
      </c>
      <c r="H27" s="208">
        <v>23530.000000000004</v>
      </c>
      <c r="I27" s="208"/>
      <c r="J27" s="209">
        <v>0</v>
      </c>
      <c r="K27" s="210">
        <f>[1]Attractions!Y65</f>
        <v>2290.9999999999995</v>
      </c>
      <c r="L27" s="209">
        <v>0</v>
      </c>
      <c r="M27" s="211"/>
      <c r="N27" s="209">
        <v>0</v>
      </c>
      <c r="O27" s="207">
        <f>H27-(K27+P27+Q27)</f>
        <v>10669.415000000005</v>
      </c>
      <c r="P27" s="210">
        <f>Q27</f>
        <v>5284.7925000000005</v>
      </c>
      <c r="Q27" s="212">
        <f>[1]Attractions!AB65*0.65</f>
        <v>5284.7925000000005</v>
      </c>
      <c r="R27" s="210">
        <f t="shared" si="4"/>
        <v>5284.7925000000005</v>
      </c>
      <c r="S27" s="210">
        <f t="shared" si="4"/>
        <v>18245.207500000004</v>
      </c>
      <c r="T27" s="213">
        <f>R27+S27</f>
        <v>23530.000000000004</v>
      </c>
      <c r="U27" s="187">
        <f>H27-T27</f>
        <v>0</v>
      </c>
      <c r="V27" s="146"/>
    </row>
    <row r="28" spans="2:31" x14ac:dyDescent="0.2">
      <c r="E28" s="169"/>
      <c r="H28" s="170"/>
      <c r="I28" s="170"/>
      <c r="W28" s="144">
        <v>5086.71</v>
      </c>
      <c r="X28" s="144">
        <v>5086.71</v>
      </c>
    </row>
    <row r="29" spans="2:31" x14ac:dyDescent="0.2">
      <c r="E29" s="171"/>
      <c r="F29" s="226"/>
      <c r="G29" s="172"/>
      <c r="H29" s="173"/>
      <c r="I29" s="173"/>
      <c r="J29" s="174"/>
    </row>
    <row r="30" spans="2:31" x14ac:dyDescent="0.2">
      <c r="E30" s="171"/>
      <c r="F30" s="226"/>
      <c r="G30" s="172"/>
      <c r="H30" s="173"/>
      <c r="I30" s="173"/>
      <c r="J30" s="174"/>
      <c r="W30" s="144">
        <v>40703.004999999997</v>
      </c>
      <c r="X30" s="144">
        <v>40703.004999999997</v>
      </c>
    </row>
    <row r="31" spans="2:31" x14ac:dyDescent="0.2">
      <c r="E31" s="171"/>
      <c r="F31" s="226"/>
      <c r="G31" s="172"/>
      <c r="H31" s="173"/>
      <c r="I31" s="173"/>
      <c r="J31" s="174"/>
      <c r="O31" s="175"/>
      <c r="W31" s="144">
        <v>0</v>
      </c>
      <c r="X31" s="144">
        <v>0</v>
      </c>
    </row>
    <row r="32" spans="2:31" x14ac:dyDescent="0.2">
      <c r="E32" s="176">
        <v>8001</v>
      </c>
      <c r="F32" s="227" t="s">
        <v>531</v>
      </c>
      <c r="G32" s="168"/>
      <c r="H32" s="177"/>
      <c r="I32" s="177"/>
      <c r="J32" s="174"/>
      <c r="W32" s="144">
        <v>0</v>
      </c>
      <c r="X32" s="144">
        <v>0</v>
      </c>
    </row>
    <row r="33" spans="3:24" x14ac:dyDescent="0.2">
      <c r="E33" s="171">
        <v>8002</v>
      </c>
      <c r="F33" s="226" t="s">
        <v>556</v>
      </c>
      <c r="G33" s="172"/>
      <c r="H33" s="173"/>
      <c r="I33" s="173"/>
      <c r="J33" s="178"/>
      <c r="K33" s="179"/>
      <c r="W33" s="144">
        <v>0</v>
      </c>
      <c r="X33" s="144">
        <v>0</v>
      </c>
    </row>
    <row r="34" spans="3:24" x14ac:dyDescent="0.2">
      <c r="E34" s="171">
        <v>8003</v>
      </c>
      <c r="F34" s="226"/>
      <c r="G34" s="172"/>
      <c r="H34" s="173"/>
      <c r="I34" s="173"/>
      <c r="J34" s="174"/>
      <c r="Q34" s="175"/>
    </row>
    <row r="35" spans="3:24" x14ac:dyDescent="0.2">
      <c r="E35" s="171">
        <v>8004</v>
      </c>
      <c r="F35" s="226"/>
      <c r="G35" s="172"/>
      <c r="H35" s="173"/>
      <c r="I35" s="173"/>
      <c r="J35" s="174"/>
      <c r="W35" s="144">
        <v>38388.225665669168</v>
      </c>
      <c r="X35" s="144">
        <v>38388.225665669168</v>
      </c>
    </row>
    <row r="36" spans="3:24" x14ac:dyDescent="0.2">
      <c r="C36" s="144" t="s">
        <v>557</v>
      </c>
      <c r="E36" s="171">
        <v>8005</v>
      </c>
      <c r="F36" s="226"/>
      <c r="G36" s="172"/>
      <c r="H36" s="172"/>
      <c r="I36" s="172"/>
      <c r="J36" s="174"/>
      <c r="K36" s="179"/>
    </row>
    <row r="37" spans="3:24" x14ac:dyDescent="0.2">
      <c r="C37" s="170">
        <v>1116584</v>
      </c>
      <c r="D37" s="170"/>
      <c r="E37" s="171">
        <v>8006</v>
      </c>
      <c r="F37" s="226"/>
      <c r="G37" s="172"/>
      <c r="H37" s="172"/>
      <c r="I37" s="172"/>
      <c r="J37" s="174"/>
      <c r="W37" s="144">
        <v>0</v>
      </c>
      <c r="X37" s="144">
        <v>0</v>
      </c>
    </row>
    <row r="38" spans="3:24" x14ac:dyDescent="0.2">
      <c r="E38" s="171">
        <v>8007</v>
      </c>
      <c r="F38" s="226"/>
      <c r="G38" s="172"/>
      <c r="H38" s="172"/>
      <c r="I38" s="172"/>
      <c r="J38" s="174"/>
    </row>
    <row r="39" spans="3:24" x14ac:dyDescent="0.2">
      <c r="C39" s="179">
        <f>C37/300</f>
        <v>3721.9466666666667</v>
      </c>
      <c r="D39" s="179"/>
      <c r="E39" s="144">
        <v>8008</v>
      </c>
      <c r="H39" s="175"/>
      <c r="I39" s="175"/>
      <c r="K39" s="180"/>
      <c r="L39" s="180"/>
      <c r="M39" s="180"/>
      <c r="N39" s="180"/>
      <c r="W39" s="144">
        <v>4615.8443712574845</v>
      </c>
      <c r="X39" s="144">
        <v>4615.8443712574845</v>
      </c>
    </row>
    <row r="40" spans="3:24" x14ac:dyDescent="0.2">
      <c r="E40" s="144">
        <v>8009</v>
      </c>
      <c r="H40" s="175"/>
      <c r="I40" s="175"/>
    </row>
    <row r="41" spans="3:24" x14ac:dyDescent="0.2">
      <c r="E41" s="144">
        <v>8010</v>
      </c>
      <c r="W41" s="144">
        <v>0</v>
      </c>
      <c r="X41" s="144">
        <v>0</v>
      </c>
    </row>
    <row r="42" spans="3:24" x14ac:dyDescent="0.2">
      <c r="E42" s="144">
        <v>8011</v>
      </c>
    </row>
    <row r="43" spans="3:24" x14ac:dyDescent="0.2">
      <c r="E43" s="144">
        <v>8012</v>
      </c>
      <c r="W43" s="144">
        <v>18245.207500000004</v>
      </c>
      <c r="X43" s="144">
        <v>18245.207500000004</v>
      </c>
    </row>
    <row r="44" spans="3:24" x14ac:dyDescent="0.2">
      <c r="E44" s="144">
        <v>8013</v>
      </c>
      <c r="I44" s="175"/>
    </row>
    <row r="45" spans="3:24" x14ac:dyDescent="0.2">
      <c r="E45" s="144">
        <v>8014</v>
      </c>
    </row>
    <row r="46" spans="3:24" x14ac:dyDescent="0.2">
      <c r="E46" s="144">
        <v>8015</v>
      </c>
    </row>
    <row r="47" spans="3:24" x14ac:dyDescent="0.2">
      <c r="E47" s="144">
        <v>8016</v>
      </c>
    </row>
  </sheetData>
  <pageMargins left="0.7" right="0.7" top="0.75" bottom="0.75" header="0.3" footer="0.3"/>
  <pageSetup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V50"/>
  <sheetViews>
    <sheetView topLeftCell="N1" zoomScaleNormal="100" workbookViewId="0">
      <selection activeCell="Z33" sqref="Z33"/>
    </sheetView>
  </sheetViews>
  <sheetFormatPr defaultRowHeight="15" x14ac:dyDescent="0.25"/>
  <cols>
    <col min="1" max="1" width="9.140625" style="1"/>
    <col min="2" max="2" width="14.5703125" style="1" customWidth="1"/>
    <col min="3" max="4" width="15" style="1" customWidth="1"/>
    <col min="5" max="5" width="14.42578125" style="1" bestFit="1" customWidth="1"/>
    <col min="6" max="7" width="14.5703125" style="1" bestFit="1" customWidth="1"/>
    <col min="8" max="8" width="11" style="1" bestFit="1" customWidth="1"/>
    <col min="9" max="9" width="10.7109375" style="1" bestFit="1" customWidth="1"/>
    <col min="10" max="10" width="10.5703125" style="1" bestFit="1" customWidth="1"/>
    <col min="11" max="11" width="10.28515625" style="1" bestFit="1" customWidth="1"/>
    <col min="12" max="12" width="10.7109375" style="1" bestFit="1" customWidth="1"/>
    <col min="13" max="13" width="10.5703125" style="1" bestFit="1" customWidth="1"/>
    <col min="14" max="14" width="10.7109375" style="1" bestFit="1" customWidth="1"/>
    <col min="15" max="15" width="10.5703125" style="1" bestFit="1" customWidth="1"/>
    <col min="16" max="16" width="8.85546875" style="1" bestFit="1" customWidth="1"/>
    <col min="17" max="17" width="8.7109375" style="1" bestFit="1" customWidth="1"/>
    <col min="18" max="18" width="6.85546875" style="1" customWidth="1"/>
    <col min="19" max="16384" width="9.140625" style="1"/>
  </cols>
  <sheetData>
    <row r="2" spans="2:22" ht="15.75" thickBot="1" x14ac:dyDescent="0.3"/>
    <row r="3" spans="2:22" ht="15.75" thickBot="1" x14ac:dyDescent="0.3">
      <c r="B3" s="26" t="s">
        <v>121</v>
      </c>
      <c r="C3" s="27"/>
      <c r="D3" s="27"/>
      <c r="E3" s="28"/>
    </row>
    <row r="5" spans="2:22" x14ac:dyDescent="0.25">
      <c r="B5" s="1" t="s">
        <v>281</v>
      </c>
    </row>
    <row r="7" spans="2:22" x14ac:dyDescent="0.25">
      <c r="B7" s="45" t="s">
        <v>226</v>
      </c>
      <c r="C7" s="22" t="s">
        <v>227</v>
      </c>
      <c r="D7" s="24" t="s">
        <v>242</v>
      </c>
      <c r="E7" s="24" t="s">
        <v>243</v>
      </c>
      <c r="F7" s="24" t="s">
        <v>244</v>
      </c>
      <c r="G7" s="24" t="s">
        <v>245</v>
      </c>
      <c r="H7" s="24" t="s">
        <v>228</v>
      </c>
      <c r="I7" s="24" t="s">
        <v>229</v>
      </c>
      <c r="J7" s="24" t="s">
        <v>230</v>
      </c>
      <c r="K7" s="24" t="s">
        <v>231</v>
      </c>
      <c r="L7" s="24" t="s">
        <v>232</v>
      </c>
      <c r="M7" s="24" t="s">
        <v>233</v>
      </c>
      <c r="N7" s="24" t="s">
        <v>234</v>
      </c>
      <c r="O7" s="24" t="s">
        <v>235</v>
      </c>
      <c r="P7" s="24" t="s">
        <v>236</v>
      </c>
      <c r="Q7" s="70" t="s">
        <v>237</v>
      </c>
      <c r="S7" s="35" t="s">
        <v>265</v>
      </c>
      <c r="T7" s="35" t="s">
        <v>266</v>
      </c>
    </row>
    <row r="8" spans="2:22" x14ac:dyDescent="0.25">
      <c r="B8" s="61">
        <v>1</v>
      </c>
      <c r="C8" s="31" t="s">
        <v>238</v>
      </c>
      <c r="D8" s="32">
        <v>0.02</v>
      </c>
      <c r="E8" s="32">
        <v>0.02</v>
      </c>
      <c r="F8" s="32">
        <v>0.02</v>
      </c>
      <c r="G8" s="32">
        <v>0.02</v>
      </c>
      <c r="H8" s="32">
        <v>4.6762999999999999E-2</v>
      </c>
      <c r="I8" s="32">
        <v>0.25484000000000001</v>
      </c>
      <c r="J8" s="32">
        <v>4.5545000000000002E-2</v>
      </c>
      <c r="K8" s="32">
        <v>5.2770999999999998E-2</v>
      </c>
      <c r="L8" s="32">
        <v>5.6980999999999997E-2</v>
      </c>
      <c r="M8" s="32">
        <v>0.21018000000000001</v>
      </c>
      <c r="N8" s="32">
        <v>4.9362999999999997E-2</v>
      </c>
      <c r="O8" s="32">
        <v>4.9362999999999997E-2</v>
      </c>
      <c r="P8" s="32">
        <v>1.4010579999999999</v>
      </c>
      <c r="Q8" s="67">
        <v>0</v>
      </c>
      <c r="S8" s="36">
        <f t="shared" ref="S8:S31" si="0">(H8+J8+L8+N8)/4</f>
        <v>4.9662999999999999E-2</v>
      </c>
      <c r="T8" s="36">
        <f t="shared" ref="T8:T31" si="1">(I8+K8+M8+O8)/4</f>
        <v>0.14178850000000001</v>
      </c>
      <c r="U8" s="16">
        <f>T8+T8</f>
        <v>0.28357700000000002</v>
      </c>
      <c r="V8" s="1">
        <f>U8/$U$32</f>
        <v>2.8357699432846016E-3</v>
      </c>
    </row>
    <row r="9" spans="2:22" x14ac:dyDescent="0.25">
      <c r="B9" s="61">
        <f>B8+1</f>
        <v>2</v>
      </c>
      <c r="C9" s="31" t="s">
        <v>238</v>
      </c>
      <c r="D9" s="32">
        <v>0.02</v>
      </c>
      <c r="E9" s="32">
        <v>0.02</v>
      </c>
      <c r="F9" s="32">
        <v>0.02</v>
      </c>
      <c r="G9" s="32">
        <v>0.02</v>
      </c>
      <c r="H9" s="32">
        <v>4.6762999999999999E-2</v>
      </c>
      <c r="I9" s="32">
        <v>0.25484000000000001</v>
      </c>
      <c r="J9" s="32">
        <v>4.5545000000000002E-2</v>
      </c>
      <c r="K9" s="32">
        <v>5.2770999999999998E-2</v>
      </c>
      <c r="L9" s="32">
        <v>5.6980999999999997E-2</v>
      </c>
      <c r="M9" s="32">
        <v>0.126692</v>
      </c>
      <c r="N9" s="32">
        <v>4.9362999999999997E-2</v>
      </c>
      <c r="O9" s="32">
        <v>4.9362999999999997E-2</v>
      </c>
      <c r="P9" s="32">
        <v>1.1218919999999999</v>
      </c>
      <c r="Q9" s="67">
        <v>0</v>
      </c>
      <c r="S9" s="36">
        <f t="shared" si="0"/>
        <v>4.9662999999999999E-2</v>
      </c>
      <c r="T9" s="36">
        <f t="shared" si="1"/>
        <v>0.1209165</v>
      </c>
      <c r="U9" s="16">
        <f t="shared" ref="U9:U32" si="2">T9+T9</f>
        <v>0.24183299999999999</v>
      </c>
      <c r="V9" s="1">
        <f t="shared" ref="V9:V32" si="3">U9/$U$32</f>
        <v>2.4183299516334009E-3</v>
      </c>
    </row>
    <row r="10" spans="2:22" x14ac:dyDescent="0.25">
      <c r="B10" s="61">
        <f t="shared" ref="B10:B31" si="4">B9+1</f>
        <v>3</v>
      </c>
      <c r="C10" s="31" t="s">
        <v>238</v>
      </c>
      <c r="D10" s="32">
        <v>0.02</v>
      </c>
      <c r="E10" s="32">
        <v>0.02</v>
      </c>
      <c r="F10" s="32">
        <v>0.02</v>
      </c>
      <c r="G10" s="32">
        <v>0.02</v>
      </c>
      <c r="H10" s="32">
        <v>4.6762999999999999E-2</v>
      </c>
      <c r="I10" s="32">
        <v>0.25484000000000001</v>
      </c>
      <c r="J10" s="32">
        <v>4.5545000000000002E-2</v>
      </c>
      <c r="K10" s="32">
        <v>5.2770999999999998E-2</v>
      </c>
      <c r="L10" s="32">
        <v>5.6980999999999997E-2</v>
      </c>
      <c r="M10" s="32">
        <v>0.126692</v>
      </c>
      <c r="N10" s="32">
        <v>4.9362999999999997E-2</v>
      </c>
      <c r="O10" s="32">
        <v>4.9362999999999997E-2</v>
      </c>
      <c r="P10" s="32">
        <v>1.1469860000000001</v>
      </c>
      <c r="Q10" s="67">
        <v>0</v>
      </c>
      <c r="S10" s="36">
        <f t="shared" si="0"/>
        <v>4.9662999999999999E-2</v>
      </c>
      <c r="T10" s="36">
        <f t="shared" si="1"/>
        <v>0.1209165</v>
      </c>
      <c r="U10" s="16">
        <f t="shared" si="2"/>
        <v>0.24183299999999999</v>
      </c>
      <c r="V10" s="1">
        <f t="shared" si="3"/>
        <v>2.4183299516334009E-3</v>
      </c>
    </row>
    <row r="11" spans="2:22" x14ac:dyDescent="0.25">
      <c r="B11" s="61">
        <f t="shared" si="4"/>
        <v>4</v>
      </c>
      <c r="C11" s="31" t="s">
        <v>238</v>
      </c>
      <c r="D11" s="32">
        <v>0.02</v>
      </c>
      <c r="E11" s="32">
        <v>0.02</v>
      </c>
      <c r="F11" s="32">
        <v>0.02</v>
      </c>
      <c r="G11" s="32">
        <v>0.02</v>
      </c>
      <c r="H11" s="32">
        <v>0.66320599999999996</v>
      </c>
      <c r="I11" s="32">
        <v>0.25484000000000001</v>
      </c>
      <c r="J11" s="32">
        <v>4.5545000000000002E-2</v>
      </c>
      <c r="K11" s="32">
        <v>5.2770999999999998E-2</v>
      </c>
      <c r="L11" s="32">
        <v>5.6980999999999997E-2</v>
      </c>
      <c r="M11" s="32">
        <v>0.126692</v>
      </c>
      <c r="N11" s="32">
        <v>4.9362999999999997E-2</v>
      </c>
      <c r="O11" s="32">
        <v>4.9362999999999997E-2</v>
      </c>
      <c r="P11" s="32">
        <v>1.264089</v>
      </c>
      <c r="Q11" s="67">
        <v>0</v>
      </c>
      <c r="S11" s="36">
        <f t="shared" si="0"/>
        <v>0.20377374999999998</v>
      </c>
      <c r="T11" s="36">
        <f t="shared" si="1"/>
        <v>0.1209165</v>
      </c>
      <c r="U11" s="16">
        <f t="shared" si="2"/>
        <v>0.24183299999999999</v>
      </c>
      <c r="V11" s="1">
        <f t="shared" si="3"/>
        <v>2.4183299516334009E-3</v>
      </c>
    </row>
    <row r="12" spans="2:22" x14ac:dyDescent="0.25">
      <c r="B12" s="61">
        <f t="shared" si="4"/>
        <v>5</v>
      </c>
      <c r="C12" s="31" t="s">
        <v>238</v>
      </c>
      <c r="D12" s="32">
        <v>0.02</v>
      </c>
      <c r="E12" s="32">
        <v>0.02</v>
      </c>
      <c r="F12" s="32">
        <v>0.02</v>
      </c>
      <c r="G12" s="32">
        <v>0.02</v>
      </c>
      <c r="H12" s="32">
        <v>0.57216500000000003</v>
      </c>
      <c r="I12" s="32">
        <v>0.25484000000000001</v>
      </c>
      <c r="J12" s="32">
        <v>4.5545000000000002E-2</v>
      </c>
      <c r="K12" s="32">
        <v>5.2770999999999998E-2</v>
      </c>
      <c r="L12" s="32">
        <v>5.6980999999999997E-2</v>
      </c>
      <c r="M12" s="32">
        <v>0.126692</v>
      </c>
      <c r="N12" s="32">
        <v>4.9362999999999997E-2</v>
      </c>
      <c r="O12" s="32">
        <v>4.9362999999999997E-2</v>
      </c>
      <c r="P12" s="32">
        <v>1.4449719999999999</v>
      </c>
      <c r="Q12" s="67">
        <v>0</v>
      </c>
      <c r="S12" s="36">
        <f t="shared" si="0"/>
        <v>0.18101349999999999</v>
      </c>
      <c r="T12" s="36">
        <f t="shared" si="1"/>
        <v>0.1209165</v>
      </c>
      <c r="U12" s="16">
        <f t="shared" si="2"/>
        <v>0.24183299999999999</v>
      </c>
      <c r="V12" s="1">
        <f t="shared" si="3"/>
        <v>2.4183299516334009E-3</v>
      </c>
    </row>
    <row r="13" spans="2:22" x14ac:dyDescent="0.25">
      <c r="B13" s="61">
        <f t="shared" si="4"/>
        <v>6</v>
      </c>
      <c r="C13" s="31" t="s">
        <v>238</v>
      </c>
      <c r="D13" s="32">
        <v>0.02</v>
      </c>
      <c r="E13" s="32">
        <v>0.02</v>
      </c>
      <c r="F13" s="32">
        <v>0.02</v>
      </c>
      <c r="G13" s="32">
        <v>0.02</v>
      </c>
      <c r="H13" s="32">
        <v>1.5681290000000001</v>
      </c>
      <c r="I13" s="32">
        <v>0.25484000000000001</v>
      </c>
      <c r="J13" s="32">
        <v>4.5545000000000002E-2</v>
      </c>
      <c r="K13" s="32">
        <v>5.2770999999999998E-2</v>
      </c>
      <c r="L13" s="32">
        <v>0.56980900000000001</v>
      </c>
      <c r="M13" s="32">
        <v>0.126692</v>
      </c>
      <c r="N13" s="32">
        <v>9.8676E-2</v>
      </c>
      <c r="O13" s="32">
        <v>9.8676E-2</v>
      </c>
      <c r="P13" s="32">
        <v>2.6107779999999998</v>
      </c>
      <c r="Q13" s="67">
        <v>0</v>
      </c>
      <c r="S13" s="36">
        <f t="shared" si="0"/>
        <v>0.57053975000000001</v>
      </c>
      <c r="T13" s="36">
        <f t="shared" si="1"/>
        <v>0.13324475</v>
      </c>
      <c r="U13" s="16">
        <f t="shared" si="2"/>
        <v>0.26648949999999999</v>
      </c>
      <c r="V13" s="1">
        <f t="shared" si="3"/>
        <v>2.6648949467021009E-3</v>
      </c>
    </row>
    <row r="14" spans="2:22" x14ac:dyDescent="0.25">
      <c r="B14" s="61">
        <f t="shared" si="4"/>
        <v>7</v>
      </c>
      <c r="C14" s="31" t="s">
        <v>239</v>
      </c>
      <c r="D14" s="32">
        <v>0.08</v>
      </c>
      <c r="E14" s="32">
        <v>0.08</v>
      </c>
      <c r="F14" s="32">
        <v>0.08</v>
      </c>
      <c r="G14" s="32">
        <v>0.08</v>
      </c>
      <c r="H14" s="32">
        <v>9.4549079999999996</v>
      </c>
      <c r="I14" s="32">
        <v>0.58693300000000004</v>
      </c>
      <c r="J14" s="32">
        <v>1.1252450000000001</v>
      </c>
      <c r="K14" s="32">
        <v>0.111344</v>
      </c>
      <c r="L14" s="32">
        <v>0.71360400000000002</v>
      </c>
      <c r="M14" s="32">
        <v>0.174265</v>
      </c>
      <c r="N14" s="32">
        <v>0.28623100000000001</v>
      </c>
      <c r="O14" s="32">
        <v>0.28623100000000001</v>
      </c>
      <c r="P14" s="32">
        <v>4.3777840000000001</v>
      </c>
      <c r="Q14" s="67">
        <v>0</v>
      </c>
      <c r="S14" s="36">
        <f t="shared" si="0"/>
        <v>2.894997</v>
      </c>
      <c r="T14" s="36">
        <f t="shared" si="1"/>
        <v>0.28969325000000001</v>
      </c>
      <c r="U14" s="16">
        <f t="shared" si="2"/>
        <v>0.57938650000000003</v>
      </c>
      <c r="V14" s="1">
        <f t="shared" si="3"/>
        <v>5.7938648841227031E-3</v>
      </c>
    </row>
    <row r="15" spans="2:22" x14ac:dyDescent="0.25">
      <c r="B15" s="61">
        <f t="shared" si="4"/>
        <v>8</v>
      </c>
      <c r="C15" s="31" t="s">
        <v>239</v>
      </c>
      <c r="D15" s="32">
        <v>0.08</v>
      </c>
      <c r="E15" s="32">
        <v>0.08</v>
      </c>
      <c r="F15" s="32">
        <v>0.08</v>
      </c>
      <c r="G15" s="32">
        <v>0.08</v>
      </c>
      <c r="H15" s="32">
        <v>16.303101999999999</v>
      </c>
      <c r="I15" s="32">
        <v>0.66320800000000002</v>
      </c>
      <c r="J15" s="32">
        <v>1.501816</v>
      </c>
      <c r="K15" s="32">
        <v>0.70389800000000002</v>
      </c>
      <c r="L15" s="32">
        <v>6.8791849999999997</v>
      </c>
      <c r="M15" s="32">
        <v>2.058357</v>
      </c>
      <c r="N15" s="32">
        <v>1.359526</v>
      </c>
      <c r="O15" s="32">
        <v>1.359526</v>
      </c>
      <c r="P15" s="32">
        <v>5.8447129999999996</v>
      </c>
      <c r="Q15" s="67">
        <v>0</v>
      </c>
      <c r="S15" s="36">
        <f t="shared" si="0"/>
        <v>6.5109072499999998</v>
      </c>
      <c r="T15" s="36">
        <f t="shared" si="1"/>
        <v>1.1962472500000001</v>
      </c>
      <c r="U15" s="16">
        <f t="shared" si="2"/>
        <v>2.3924945000000002</v>
      </c>
      <c r="V15" s="1">
        <f t="shared" si="3"/>
        <v>2.3924944521501113E-2</v>
      </c>
    </row>
    <row r="16" spans="2:22" x14ac:dyDescent="0.25">
      <c r="B16" s="61">
        <f t="shared" si="4"/>
        <v>9</v>
      </c>
      <c r="C16" s="31" t="s">
        <v>239</v>
      </c>
      <c r="D16" s="32">
        <v>0.09</v>
      </c>
      <c r="E16" s="32">
        <v>0.09</v>
      </c>
      <c r="F16" s="32">
        <v>0.09</v>
      </c>
      <c r="G16" s="32">
        <v>0.09</v>
      </c>
      <c r="H16" s="32">
        <v>7.8086399999999996</v>
      </c>
      <c r="I16" s="32">
        <v>0.115345</v>
      </c>
      <c r="J16" s="32">
        <v>0.89473599999999998</v>
      </c>
      <c r="K16" s="32">
        <v>0.83541699999999997</v>
      </c>
      <c r="L16" s="32">
        <v>5.0970230000000001</v>
      </c>
      <c r="M16" s="32">
        <v>1.5643629999999999</v>
      </c>
      <c r="N16" s="32">
        <v>1.717301</v>
      </c>
      <c r="O16" s="32">
        <v>1.717301</v>
      </c>
      <c r="P16" s="32">
        <v>5.6586020000000001</v>
      </c>
      <c r="Q16" s="67">
        <v>0</v>
      </c>
      <c r="S16" s="36">
        <f t="shared" si="0"/>
        <v>3.8794249999999995</v>
      </c>
      <c r="T16" s="36">
        <f t="shared" si="1"/>
        <v>1.0581065000000001</v>
      </c>
      <c r="U16" s="16">
        <f t="shared" si="2"/>
        <v>2.1162130000000001</v>
      </c>
      <c r="V16" s="1">
        <f t="shared" si="3"/>
        <v>2.1162129576757411E-2</v>
      </c>
    </row>
    <row r="17" spans="2:22" x14ac:dyDescent="0.25">
      <c r="B17" s="61">
        <f t="shared" si="4"/>
        <v>10</v>
      </c>
      <c r="C17" s="31" t="s">
        <v>240</v>
      </c>
      <c r="D17" s="32">
        <v>0.05</v>
      </c>
      <c r="E17" s="32">
        <v>0.05</v>
      </c>
      <c r="F17" s="32">
        <v>0.05</v>
      </c>
      <c r="G17" s="32">
        <v>0.05</v>
      </c>
      <c r="H17" s="32">
        <v>3.1537959999999998</v>
      </c>
      <c r="I17" s="32">
        <v>0.25060700000000002</v>
      </c>
      <c r="J17" s="32">
        <v>4.7207819999999998</v>
      </c>
      <c r="K17" s="32">
        <v>1.0643359999999999</v>
      </c>
      <c r="L17" s="32">
        <v>2.13544</v>
      </c>
      <c r="M17" s="32">
        <v>1.0159640000000001</v>
      </c>
      <c r="N17" s="32">
        <v>2.2203200000000001</v>
      </c>
      <c r="O17" s="32">
        <v>2.2203200000000001</v>
      </c>
      <c r="P17" s="32">
        <v>5.4055749999999998</v>
      </c>
      <c r="Q17" s="67">
        <v>0</v>
      </c>
      <c r="S17" s="36">
        <f t="shared" si="0"/>
        <v>3.0575844999999999</v>
      </c>
      <c r="T17" s="36">
        <f t="shared" si="1"/>
        <v>1.13780675</v>
      </c>
      <c r="U17" s="16">
        <f t="shared" si="2"/>
        <v>2.2756135</v>
      </c>
      <c r="V17" s="1">
        <f t="shared" si="3"/>
        <v>2.2756134544877311E-2</v>
      </c>
    </row>
    <row r="18" spans="2:22" x14ac:dyDescent="0.25">
      <c r="B18" s="61">
        <f t="shared" si="4"/>
        <v>11</v>
      </c>
      <c r="C18" s="31" t="s">
        <v>240</v>
      </c>
      <c r="D18" s="32">
        <v>0.04</v>
      </c>
      <c r="E18" s="32">
        <v>0.04</v>
      </c>
      <c r="F18" s="32">
        <v>0.04</v>
      </c>
      <c r="G18" s="32">
        <v>0.04</v>
      </c>
      <c r="H18" s="32">
        <v>1.51156</v>
      </c>
      <c r="I18" s="32">
        <v>0.50121400000000005</v>
      </c>
      <c r="J18" s="32">
        <v>6.5868840000000004</v>
      </c>
      <c r="K18" s="32">
        <v>3.0891540000000002</v>
      </c>
      <c r="L18" s="32">
        <v>3.2032099999999999</v>
      </c>
      <c r="M18" s="32">
        <v>1.1042479999999999</v>
      </c>
      <c r="N18" s="32">
        <v>4.810683</v>
      </c>
      <c r="O18" s="32">
        <v>4.810683</v>
      </c>
      <c r="P18" s="32">
        <v>5.2163279999999999</v>
      </c>
      <c r="Q18" s="67">
        <v>0</v>
      </c>
      <c r="S18" s="36">
        <f t="shared" si="0"/>
        <v>4.02808425</v>
      </c>
      <c r="T18" s="36">
        <f t="shared" si="1"/>
        <v>2.3763247500000002</v>
      </c>
      <c r="U18" s="16">
        <f t="shared" si="2"/>
        <v>4.7526495000000004</v>
      </c>
      <c r="V18" s="1">
        <f t="shared" si="3"/>
        <v>4.7526494049470125E-2</v>
      </c>
    </row>
    <row r="19" spans="2:22" x14ac:dyDescent="0.25">
      <c r="B19" s="61">
        <f t="shared" si="4"/>
        <v>12</v>
      </c>
      <c r="C19" s="31" t="s">
        <v>240</v>
      </c>
      <c r="D19" s="32">
        <v>0.04</v>
      </c>
      <c r="E19" s="32">
        <v>0.04</v>
      </c>
      <c r="F19" s="32">
        <v>0.04</v>
      </c>
      <c r="G19" s="32">
        <v>0.04</v>
      </c>
      <c r="H19" s="32">
        <v>1.51156</v>
      </c>
      <c r="I19" s="32">
        <v>1.1025130000000001</v>
      </c>
      <c r="J19" s="32">
        <v>6.5868840000000004</v>
      </c>
      <c r="K19" s="32">
        <v>6.2284509999999997</v>
      </c>
      <c r="L19" s="32">
        <v>3.4701529999999998</v>
      </c>
      <c r="M19" s="32">
        <v>1.1406000000000001</v>
      </c>
      <c r="N19" s="32">
        <v>6.0195439999999998</v>
      </c>
      <c r="O19" s="32">
        <v>6.0195439999999998</v>
      </c>
      <c r="P19" s="32">
        <v>5.1922800000000002</v>
      </c>
      <c r="Q19" s="67">
        <v>0</v>
      </c>
      <c r="S19" s="36">
        <f t="shared" si="0"/>
        <v>4.3970352500000001</v>
      </c>
      <c r="T19" s="36">
        <f t="shared" si="1"/>
        <v>3.6227770000000001</v>
      </c>
      <c r="U19" s="16">
        <f t="shared" si="2"/>
        <v>7.2455540000000003</v>
      </c>
      <c r="V19" s="1">
        <f t="shared" si="3"/>
        <v>7.2455538550889237E-2</v>
      </c>
    </row>
    <row r="20" spans="2:22" x14ac:dyDescent="0.25">
      <c r="B20" s="61">
        <f t="shared" si="4"/>
        <v>13</v>
      </c>
      <c r="C20" s="31" t="s">
        <v>240</v>
      </c>
      <c r="D20" s="32">
        <v>0.04</v>
      </c>
      <c r="E20" s="32">
        <v>0.04</v>
      </c>
      <c r="F20" s="32">
        <v>0.04</v>
      </c>
      <c r="G20" s="32">
        <v>0.04</v>
      </c>
      <c r="H20" s="32">
        <v>1.17134</v>
      </c>
      <c r="I20" s="32">
        <v>0.89314800000000005</v>
      </c>
      <c r="J20" s="32">
        <v>4.5559810000000001</v>
      </c>
      <c r="K20" s="32">
        <v>3.466215</v>
      </c>
      <c r="L20" s="32">
        <v>2.2782779999999998</v>
      </c>
      <c r="M20" s="32">
        <v>1.946777</v>
      </c>
      <c r="N20" s="32">
        <v>4.810683</v>
      </c>
      <c r="O20" s="32">
        <v>4.810683</v>
      </c>
      <c r="P20" s="32">
        <v>5.3491140000000001</v>
      </c>
      <c r="Q20" s="67">
        <v>0</v>
      </c>
      <c r="S20" s="36">
        <f t="shared" si="0"/>
        <v>3.2040705000000003</v>
      </c>
      <c r="T20" s="36">
        <f t="shared" si="1"/>
        <v>2.77920575</v>
      </c>
      <c r="U20" s="16">
        <f t="shared" si="2"/>
        <v>5.5584115000000001</v>
      </c>
      <c r="V20" s="1">
        <f t="shared" si="3"/>
        <v>5.5584113888317722E-2</v>
      </c>
    </row>
    <row r="21" spans="2:22" x14ac:dyDescent="0.25">
      <c r="B21" s="61">
        <f t="shared" si="4"/>
        <v>14</v>
      </c>
      <c r="C21" s="31" t="s">
        <v>240</v>
      </c>
      <c r="D21" s="32">
        <v>0.04</v>
      </c>
      <c r="E21" s="32">
        <v>0.04</v>
      </c>
      <c r="F21" s="32">
        <v>0.04</v>
      </c>
      <c r="G21" s="32">
        <v>0.04</v>
      </c>
      <c r="H21" s="32">
        <v>1.0581119999999999</v>
      </c>
      <c r="I21" s="32">
        <v>2.0046309999999998</v>
      </c>
      <c r="J21" s="32">
        <v>4.6351810000000002</v>
      </c>
      <c r="K21" s="32">
        <v>4.4118779999999997</v>
      </c>
      <c r="L21" s="32">
        <v>1.198984</v>
      </c>
      <c r="M21" s="32">
        <v>3.2277529999999999</v>
      </c>
      <c r="N21" s="32">
        <v>4.810683</v>
      </c>
      <c r="O21" s="32">
        <v>4.810683</v>
      </c>
      <c r="P21" s="32">
        <v>5.5132680000000001</v>
      </c>
      <c r="Q21" s="67">
        <v>0</v>
      </c>
      <c r="S21" s="36">
        <f t="shared" si="0"/>
        <v>2.9257400000000002</v>
      </c>
      <c r="T21" s="36">
        <f t="shared" si="1"/>
        <v>3.6137362499999997</v>
      </c>
      <c r="U21" s="16">
        <f t="shared" si="2"/>
        <v>7.2274724999999993</v>
      </c>
      <c r="V21" s="1">
        <f t="shared" si="3"/>
        <v>7.2274723554505524E-2</v>
      </c>
    </row>
    <row r="22" spans="2:22" x14ac:dyDescent="0.25">
      <c r="B22" s="61">
        <f t="shared" si="4"/>
        <v>15</v>
      </c>
      <c r="C22" s="31" t="s">
        <v>240</v>
      </c>
      <c r="D22" s="32">
        <v>0.04</v>
      </c>
      <c r="E22" s="32">
        <v>0.04</v>
      </c>
      <c r="F22" s="32">
        <v>0.04</v>
      </c>
      <c r="G22" s="32">
        <v>0.04</v>
      </c>
      <c r="H22" s="32">
        <v>0.881776</v>
      </c>
      <c r="I22" s="32">
        <v>2.330104</v>
      </c>
      <c r="J22" s="32">
        <v>2.4396300000000002</v>
      </c>
      <c r="K22" s="32">
        <v>4.2030079999999996</v>
      </c>
      <c r="L22" s="32">
        <v>3.4701529999999998</v>
      </c>
      <c r="M22" s="32">
        <v>5.0282669999999996</v>
      </c>
      <c r="N22" s="32">
        <v>4.3173069999999996</v>
      </c>
      <c r="O22" s="32">
        <v>4.3173069999999996</v>
      </c>
      <c r="P22" s="32">
        <v>5.9304490000000003</v>
      </c>
      <c r="Q22" s="67">
        <v>0</v>
      </c>
      <c r="S22" s="36">
        <f t="shared" si="0"/>
        <v>2.7772164999999998</v>
      </c>
      <c r="T22" s="36">
        <f t="shared" si="1"/>
        <v>3.9696714999999996</v>
      </c>
      <c r="U22" s="16">
        <f t="shared" si="2"/>
        <v>7.9393429999999992</v>
      </c>
      <c r="V22" s="1">
        <f t="shared" si="3"/>
        <v>7.9393428412131428E-2</v>
      </c>
    </row>
    <row r="23" spans="2:22" x14ac:dyDescent="0.25">
      <c r="B23" s="61">
        <f t="shared" si="4"/>
        <v>16</v>
      </c>
      <c r="C23" s="31" t="s">
        <v>241</v>
      </c>
      <c r="D23" s="32">
        <v>0.08</v>
      </c>
      <c r="E23" s="32">
        <v>0.08</v>
      </c>
      <c r="F23" s="32">
        <v>0.08</v>
      </c>
      <c r="G23" s="32">
        <v>0.08</v>
      </c>
      <c r="H23" s="32">
        <v>0.53600099999999995</v>
      </c>
      <c r="I23" s="32">
        <v>7.4881650000000004</v>
      </c>
      <c r="J23" s="32">
        <v>3.9497469999999999</v>
      </c>
      <c r="K23" s="32">
        <v>5.4453279999999999</v>
      </c>
      <c r="L23" s="32">
        <v>3.2139090000000001</v>
      </c>
      <c r="M23" s="32">
        <v>4.4941019999999998</v>
      </c>
      <c r="N23" s="32">
        <v>5.3649360000000001</v>
      </c>
      <c r="O23" s="32">
        <v>5.3649360000000001</v>
      </c>
      <c r="P23" s="32">
        <v>6.8317269999999999</v>
      </c>
      <c r="Q23" s="67">
        <v>0</v>
      </c>
      <c r="S23" s="36">
        <f t="shared" si="0"/>
        <v>3.2661482500000001</v>
      </c>
      <c r="T23" s="36">
        <f t="shared" si="1"/>
        <v>5.6981327500000001</v>
      </c>
      <c r="U23" s="16">
        <f t="shared" si="2"/>
        <v>11.3962655</v>
      </c>
      <c r="V23" s="1">
        <f t="shared" si="3"/>
        <v>0.11396265272074696</v>
      </c>
    </row>
    <row r="24" spans="2:22" x14ac:dyDescent="0.25">
      <c r="B24" s="61">
        <f t="shared" si="4"/>
        <v>17</v>
      </c>
      <c r="C24" s="31" t="s">
        <v>241</v>
      </c>
      <c r="D24" s="32">
        <v>0.08</v>
      </c>
      <c r="E24" s="32">
        <v>0.08</v>
      </c>
      <c r="F24" s="32">
        <v>0.08</v>
      </c>
      <c r="G24" s="32">
        <v>0.08</v>
      </c>
      <c r="H24" s="32">
        <v>0.53600099999999995</v>
      </c>
      <c r="I24" s="32">
        <v>8.0758039999999998</v>
      </c>
      <c r="J24" s="32">
        <v>3.9497469999999999</v>
      </c>
      <c r="K24" s="32">
        <v>4.1488519999999998</v>
      </c>
      <c r="L24" s="32">
        <v>3.2139090000000001</v>
      </c>
      <c r="M24" s="32">
        <v>4.7740559999999999</v>
      </c>
      <c r="N24" s="32">
        <v>4.5985170000000002</v>
      </c>
      <c r="O24" s="32">
        <v>4.5985170000000002</v>
      </c>
      <c r="P24" s="32">
        <v>7.3220970000000003</v>
      </c>
      <c r="Q24" s="67">
        <v>0</v>
      </c>
      <c r="S24" s="36">
        <f t="shared" si="0"/>
        <v>3.0745434999999999</v>
      </c>
      <c r="T24" s="36">
        <f t="shared" si="1"/>
        <v>5.3993072499999997</v>
      </c>
      <c r="U24" s="16">
        <f t="shared" si="2"/>
        <v>10.798614499999999</v>
      </c>
      <c r="V24" s="1">
        <f t="shared" si="3"/>
        <v>0.10798614284027715</v>
      </c>
    </row>
    <row r="25" spans="2:22" x14ac:dyDescent="0.25">
      <c r="B25" s="61">
        <f t="shared" si="4"/>
        <v>18</v>
      </c>
      <c r="C25" s="31" t="s">
        <v>241</v>
      </c>
      <c r="D25" s="32">
        <v>0.09</v>
      </c>
      <c r="E25" s="32">
        <v>0.09</v>
      </c>
      <c r="F25" s="32">
        <v>0.09</v>
      </c>
      <c r="G25" s="32">
        <v>0.09</v>
      </c>
      <c r="H25" s="32">
        <v>0.82479100000000005</v>
      </c>
      <c r="I25" s="32">
        <v>11.974795</v>
      </c>
      <c r="J25" s="32">
        <v>3.2126990000000002</v>
      </c>
      <c r="K25" s="32">
        <v>3.901923</v>
      </c>
      <c r="L25" s="32">
        <v>3.952083</v>
      </c>
      <c r="M25" s="32">
        <v>5.6984399999999997</v>
      </c>
      <c r="N25" s="32">
        <v>3.9853559999999999</v>
      </c>
      <c r="O25" s="32">
        <v>3.9853559999999999</v>
      </c>
      <c r="P25" s="32">
        <v>7.1527149999999997</v>
      </c>
      <c r="Q25" s="67">
        <v>0</v>
      </c>
      <c r="S25" s="36">
        <f t="shared" si="0"/>
        <v>2.9937322499999999</v>
      </c>
      <c r="T25" s="36">
        <f t="shared" si="1"/>
        <v>6.3901285000000003</v>
      </c>
      <c r="U25" s="16">
        <f t="shared" si="2"/>
        <v>12.780257000000001</v>
      </c>
      <c r="V25" s="1">
        <f t="shared" si="3"/>
        <v>0.12780256744394866</v>
      </c>
    </row>
    <row r="26" spans="2:22" x14ac:dyDescent="0.25">
      <c r="B26" s="61">
        <f t="shared" si="4"/>
        <v>19</v>
      </c>
      <c r="C26" s="31" t="s">
        <v>238</v>
      </c>
      <c r="D26" s="32">
        <v>0.03</v>
      </c>
      <c r="E26" s="32">
        <v>0.03</v>
      </c>
      <c r="F26" s="32">
        <v>0.03</v>
      </c>
      <c r="G26" s="32">
        <v>0.03</v>
      </c>
      <c r="H26" s="32">
        <v>0.35103699999999999</v>
      </c>
      <c r="I26" s="32">
        <v>5.1690370000000003</v>
      </c>
      <c r="J26" s="32">
        <v>2.7314120000000002</v>
      </c>
      <c r="K26" s="32">
        <v>2.6374029999999999</v>
      </c>
      <c r="L26" s="32">
        <v>3.7036519999999999</v>
      </c>
      <c r="M26" s="32">
        <v>3.8759480000000002</v>
      </c>
      <c r="N26" s="32">
        <v>1.726893</v>
      </c>
      <c r="O26" s="32">
        <v>1.726893</v>
      </c>
      <c r="P26" s="32">
        <v>5.3041549999999997</v>
      </c>
      <c r="Q26" s="67">
        <v>0</v>
      </c>
      <c r="S26" s="36">
        <f t="shared" si="0"/>
        <v>2.1282485000000002</v>
      </c>
      <c r="T26" s="36">
        <f t="shared" si="1"/>
        <v>3.35232025</v>
      </c>
      <c r="U26" s="16">
        <f t="shared" si="2"/>
        <v>6.7046405</v>
      </c>
      <c r="V26" s="1">
        <f t="shared" si="3"/>
        <v>6.7046403659071926E-2</v>
      </c>
    </row>
    <row r="27" spans="2:22" x14ac:dyDescent="0.25">
      <c r="B27" s="61">
        <f t="shared" si="4"/>
        <v>20</v>
      </c>
      <c r="C27" s="31" t="s">
        <v>238</v>
      </c>
      <c r="D27" s="32">
        <v>0.02</v>
      </c>
      <c r="E27" s="32">
        <v>0.02</v>
      </c>
      <c r="F27" s="32">
        <v>0.02</v>
      </c>
      <c r="G27" s="32">
        <v>0.02</v>
      </c>
      <c r="H27" s="32">
        <v>0.35103699999999999</v>
      </c>
      <c r="I27" s="32">
        <v>1.78365</v>
      </c>
      <c r="J27" s="32">
        <v>1.208888</v>
      </c>
      <c r="K27" s="32">
        <v>4.2198250000000002</v>
      </c>
      <c r="L27" s="32">
        <v>2.7064870000000001</v>
      </c>
      <c r="M27" s="32">
        <v>4.4127239999999999</v>
      </c>
      <c r="N27" s="32">
        <v>1.480229</v>
      </c>
      <c r="O27" s="32">
        <v>1.480229</v>
      </c>
      <c r="P27" s="32">
        <v>4.3160949999999998</v>
      </c>
      <c r="Q27" s="67">
        <v>0</v>
      </c>
      <c r="S27" s="36">
        <f t="shared" si="0"/>
        <v>1.4366602500000001</v>
      </c>
      <c r="T27" s="36">
        <f t="shared" si="1"/>
        <v>2.9741069999999996</v>
      </c>
      <c r="U27" s="16">
        <f t="shared" si="2"/>
        <v>5.9482139999999992</v>
      </c>
      <c r="V27" s="1">
        <f t="shared" si="3"/>
        <v>5.9482138810357216E-2</v>
      </c>
    </row>
    <row r="28" spans="2:22" x14ac:dyDescent="0.25">
      <c r="B28" s="61">
        <f t="shared" si="4"/>
        <v>21</v>
      </c>
      <c r="C28" s="31" t="s">
        <v>238</v>
      </c>
      <c r="D28" s="32">
        <v>0.02</v>
      </c>
      <c r="E28" s="32">
        <v>0.02</v>
      </c>
      <c r="F28" s="32">
        <v>0.02</v>
      </c>
      <c r="G28" s="32">
        <v>0.02</v>
      </c>
      <c r="H28" s="32">
        <v>0.78343499999999999</v>
      </c>
      <c r="I28" s="32">
        <v>2.091812</v>
      </c>
      <c r="J28" s="32">
        <v>0.96701899999999996</v>
      </c>
      <c r="K28" s="32">
        <v>2.0514019999999999</v>
      </c>
      <c r="L28" s="32">
        <v>2.7126209999999999</v>
      </c>
      <c r="M28" s="32">
        <v>4.3145319999999998</v>
      </c>
      <c r="N28" s="32">
        <v>0.98680299999999999</v>
      </c>
      <c r="O28" s="32">
        <v>0.98680299999999999</v>
      </c>
      <c r="P28" s="32">
        <v>3.7054849999999999</v>
      </c>
      <c r="Q28" s="67">
        <v>0</v>
      </c>
      <c r="S28" s="36">
        <f t="shared" si="0"/>
        <v>1.3624695</v>
      </c>
      <c r="T28" s="36">
        <f t="shared" si="1"/>
        <v>2.3611372500000001</v>
      </c>
      <c r="U28" s="16">
        <f t="shared" si="2"/>
        <v>4.7222745000000002</v>
      </c>
      <c r="V28" s="1">
        <f t="shared" si="3"/>
        <v>4.7222744055545121E-2</v>
      </c>
    </row>
    <row r="29" spans="2:22" x14ac:dyDescent="0.25">
      <c r="B29" s="61">
        <f t="shared" si="4"/>
        <v>22</v>
      </c>
      <c r="C29" s="31" t="s">
        <v>238</v>
      </c>
      <c r="D29" s="32">
        <v>0.02</v>
      </c>
      <c r="E29" s="32">
        <v>0.02</v>
      </c>
      <c r="F29" s="32">
        <v>0.02</v>
      </c>
      <c r="G29" s="32">
        <v>0.02</v>
      </c>
      <c r="H29" s="32">
        <v>0.35103699999999999</v>
      </c>
      <c r="I29" s="32">
        <v>0.50968000000000002</v>
      </c>
      <c r="J29" s="32">
        <v>0.455235</v>
      </c>
      <c r="K29" s="32">
        <v>2.6374029999999999</v>
      </c>
      <c r="L29" s="32">
        <v>0.56980900000000001</v>
      </c>
      <c r="M29" s="32">
        <v>2.7459989999999999</v>
      </c>
      <c r="N29" s="32">
        <v>0.37004500000000001</v>
      </c>
      <c r="O29" s="32">
        <v>0.37004500000000001</v>
      </c>
      <c r="P29" s="32">
        <v>3.1994310000000001</v>
      </c>
      <c r="Q29" s="67">
        <v>0</v>
      </c>
      <c r="S29" s="36">
        <f t="shared" si="0"/>
        <v>0.43653150000000002</v>
      </c>
      <c r="T29" s="36">
        <f t="shared" si="1"/>
        <v>1.56578175</v>
      </c>
      <c r="U29" s="16">
        <f t="shared" si="2"/>
        <v>3.1315634999999999</v>
      </c>
      <c r="V29" s="1">
        <f t="shared" si="3"/>
        <v>3.1315634373687312E-2</v>
      </c>
    </row>
    <row r="30" spans="2:22" x14ac:dyDescent="0.25">
      <c r="B30" s="61">
        <f t="shared" si="4"/>
        <v>23</v>
      </c>
      <c r="C30" s="31" t="s">
        <v>238</v>
      </c>
      <c r="D30" s="32">
        <v>0.02</v>
      </c>
      <c r="E30" s="32">
        <v>0.02</v>
      </c>
      <c r="F30" s="32">
        <v>0.02</v>
      </c>
      <c r="G30" s="32">
        <v>0.02</v>
      </c>
      <c r="H30" s="32">
        <v>0.35103699999999999</v>
      </c>
      <c r="I30" s="32">
        <v>1.91107</v>
      </c>
      <c r="J30" s="32">
        <v>0.1593</v>
      </c>
      <c r="K30" s="32">
        <v>0.263768</v>
      </c>
      <c r="L30" s="32">
        <v>0.56980900000000001</v>
      </c>
      <c r="M30" s="32">
        <v>1.368153</v>
      </c>
      <c r="N30" s="32">
        <v>0.74009000000000003</v>
      </c>
      <c r="O30" s="32">
        <v>0.74009000000000003</v>
      </c>
      <c r="P30" s="32">
        <v>2.5856840000000001</v>
      </c>
      <c r="Q30" s="67">
        <v>0</v>
      </c>
      <c r="S30" s="36">
        <f t="shared" si="0"/>
        <v>0.45505899999999999</v>
      </c>
      <c r="T30" s="36">
        <f t="shared" si="1"/>
        <v>1.07077025</v>
      </c>
      <c r="U30" s="16">
        <f t="shared" si="2"/>
        <v>2.1415405000000001</v>
      </c>
      <c r="V30" s="1">
        <f t="shared" si="3"/>
        <v>2.1415404571691912E-2</v>
      </c>
    </row>
    <row r="31" spans="2:22" x14ac:dyDescent="0.25">
      <c r="B31" s="63">
        <f t="shared" si="4"/>
        <v>24</v>
      </c>
      <c r="C31" s="33" t="s">
        <v>238</v>
      </c>
      <c r="D31" s="34">
        <v>0.02</v>
      </c>
      <c r="E31" s="34">
        <v>0.02</v>
      </c>
      <c r="F31" s="34">
        <v>0.02</v>
      </c>
      <c r="G31" s="34">
        <v>0.02</v>
      </c>
      <c r="H31" s="34">
        <v>0.11704199999999999</v>
      </c>
      <c r="I31" s="34">
        <v>1.019245</v>
      </c>
      <c r="J31" s="34">
        <v>4.5545000000000002E-2</v>
      </c>
      <c r="K31" s="34">
        <v>0.263768</v>
      </c>
      <c r="L31" s="34">
        <v>5.6980999999999997E-2</v>
      </c>
      <c r="M31" s="34">
        <v>0.211815</v>
      </c>
      <c r="N31" s="34">
        <v>4.9362999999999997E-2</v>
      </c>
      <c r="O31" s="34">
        <v>4.9362999999999997E-2</v>
      </c>
      <c r="P31" s="34">
        <v>2.104724</v>
      </c>
      <c r="Q31" s="68">
        <v>0</v>
      </c>
      <c r="S31" s="36">
        <f t="shared" si="0"/>
        <v>6.7232749999999994E-2</v>
      </c>
      <c r="T31" s="36">
        <f t="shared" si="1"/>
        <v>0.38604775000000002</v>
      </c>
      <c r="U31" s="16">
        <f t="shared" si="2"/>
        <v>0.77209550000000005</v>
      </c>
      <c r="V31" s="1">
        <f t="shared" si="3"/>
        <v>7.7209548455809043E-3</v>
      </c>
    </row>
    <row r="32" spans="2:22" x14ac:dyDescent="0.25">
      <c r="H32" s="16"/>
      <c r="I32" s="16"/>
      <c r="J32" s="16"/>
      <c r="K32" s="16"/>
      <c r="L32" s="16"/>
      <c r="M32" s="16"/>
      <c r="N32" s="16"/>
      <c r="O32" s="16"/>
      <c r="P32" s="16"/>
      <c r="Q32" s="16"/>
      <c r="S32" s="36">
        <f t="shared" ref="S32:T32" si="5">SUM(S8:S31)</f>
        <v>50.000001750000003</v>
      </c>
      <c r="T32" s="36">
        <f t="shared" si="5"/>
        <v>50.000000999999997</v>
      </c>
      <c r="U32" s="16">
        <f t="shared" si="2"/>
        <v>100.00000199999999</v>
      </c>
      <c r="V32" s="1">
        <f t="shared" si="3"/>
        <v>1</v>
      </c>
    </row>
    <row r="34" spans="2:4" x14ac:dyDescent="0.25">
      <c r="B34" s="37" t="s">
        <v>41</v>
      </c>
      <c r="C34" s="112" t="s">
        <v>42</v>
      </c>
      <c r="D34" s="113"/>
    </row>
    <row r="35" spans="2:4" x14ac:dyDescent="0.25">
      <c r="B35" s="43" t="s">
        <v>226</v>
      </c>
      <c r="C35" s="19" t="s">
        <v>432</v>
      </c>
      <c r="D35" s="104"/>
    </row>
    <row r="36" spans="2:4" x14ac:dyDescent="0.25">
      <c r="B36" s="43" t="s">
        <v>227</v>
      </c>
      <c r="C36" s="19" t="s">
        <v>433</v>
      </c>
      <c r="D36" s="104"/>
    </row>
    <row r="37" spans="2:4" x14ac:dyDescent="0.25">
      <c r="B37" s="43" t="s">
        <v>242</v>
      </c>
      <c r="C37" s="105"/>
      <c r="D37" s="106"/>
    </row>
    <row r="38" spans="2:4" x14ac:dyDescent="0.25">
      <c r="B38" s="43" t="s">
        <v>243</v>
      </c>
      <c r="C38" s="105"/>
      <c r="D38" s="106"/>
    </row>
    <row r="39" spans="2:4" x14ac:dyDescent="0.25">
      <c r="B39" s="43" t="s">
        <v>244</v>
      </c>
      <c r="C39" s="105"/>
      <c r="D39" s="106"/>
    </row>
    <row r="40" spans="2:4" x14ac:dyDescent="0.25">
      <c r="B40" s="43" t="s">
        <v>245</v>
      </c>
      <c r="C40" s="105"/>
      <c r="D40" s="106"/>
    </row>
    <row r="41" spans="2:4" x14ac:dyDescent="0.25">
      <c r="B41" s="43" t="s">
        <v>228</v>
      </c>
      <c r="C41" s="19" t="s">
        <v>434</v>
      </c>
      <c r="D41" s="104"/>
    </row>
    <row r="42" spans="2:4" x14ac:dyDescent="0.25">
      <c r="B42" s="43" t="s">
        <v>229</v>
      </c>
      <c r="C42" s="19" t="s">
        <v>435</v>
      </c>
      <c r="D42" s="104"/>
    </row>
    <row r="43" spans="2:4" x14ac:dyDescent="0.25">
      <c r="B43" s="43" t="s">
        <v>230</v>
      </c>
      <c r="C43" s="19" t="s">
        <v>436</v>
      </c>
      <c r="D43" s="104"/>
    </row>
    <row r="44" spans="2:4" x14ac:dyDescent="0.25">
      <c r="B44" s="43" t="s">
        <v>231</v>
      </c>
      <c r="C44" s="19" t="s">
        <v>437</v>
      </c>
      <c r="D44" s="104"/>
    </row>
    <row r="45" spans="2:4" x14ac:dyDescent="0.25">
      <c r="B45" s="43" t="s">
        <v>232</v>
      </c>
      <c r="C45" s="19" t="s">
        <v>438</v>
      </c>
      <c r="D45" s="104"/>
    </row>
    <row r="46" spans="2:4" x14ac:dyDescent="0.25">
      <c r="B46" s="43" t="s">
        <v>233</v>
      </c>
      <c r="C46" s="19" t="s">
        <v>439</v>
      </c>
      <c r="D46" s="104"/>
    </row>
    <row r="47" spans="2:4" x14ac:dyDescent="0.25">
      <c r="B47" s="43" t="s">
        <v>234</v>
      </c>
      <c r="C47" s="19" t="s">
        <v>440</v>
      </c>
      <c r="D47" s="104"/>
    </row>
    <row r="48" spans="2:4" x14ac:dyDescent="0.25">
      <c r="B48" s="43" t="s">
        <v>235</v>
      </c>
      <c r="C48" s="19" t="s">
        <v>441</v>
      </c>
      <c r="D48" s="104"/>
    </row>
    <row r="49" spans="2:4" x14ac:dyDescent="0.25">
      <c r="B49" s="43" t="s">
        <v>236</v>
      </c>
      <c r="C49" s="19" t="s">
        <v>442</v>
      </c>
      <c r="D49" s="104"/>
    </row>
    <row r="50" spans="2:4" x14ac:dyDescent="0.25">
      <c r="B50" s="44" t="s">
        <v>237</v>
      </c>
      <c r="C50" s="107" t="s">
        <v>443</v>
      </c>
      <c r="D50" s="10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S42"/>
  <sheetViews>
    <sheetView zoomScale="85" zoomScaleNormal="85" workbookViewId="0">
      <selection activeCell="O4" sqref="O4:O8"/>
    </sheetView>
  </sheetViews>
  <sheetFormatPr defaultRowHeight="15" x14ac:dyDescent="0.25"/>
  <cols>
    <col min="1" max="1" width="9.140625" style="1"/>
    <col min="2" max="2" width="20.42578125" style="1" customWidth="1"/>
    <col min="3" max="4" width="11.140625" style="1" customWidth="1"/>
    <col min="5" max="5" width="9.140625" style="1"/>
    <col min="6" max="6" width="18.5703125" style="1" bestFit="1" customWidth="1"/>
    <col min="7" max="16384" width="9.140625" style="1"/>
  </cols>
  <sheetData>
    <row r="2" spans="2:19" ht="15.75" thickBot="1" x14ac:dyDescent="0.3"/>
    <row r="3" spans="2:19" ht="15.75" thickBot="1" x14ac:dyDescent="0.3">
      <c r="B3" s="26" t="s">
        <v>246</v>
      </c>
      <c r="C3" s="28"/>
      <c r="D3" s="19"/>
      <c r="O3" s="1" t="s">
        <v>520</v>
      </c>
    </row>
    <row r="4" spans="2:19" ht="18" x14ac:dyDescent="0.35">
      <c r="B4" s="23"/>
      <c r="C4" s="23"/>
      <c r="D4" s="23"/>
      <c r="O4" s="142" t="s">
        <v>523</v>
      </c>
    </row>
    <row r="5" spans="2:19" ht="12" customHeight="1" x14ac:dyDescent="0.25">
      <c r="B5" s="1" t="s">
        <v>256</v>
      </c>
      <c r="C5" s="23"/>
      <c r="D5" s="23"/>
      <c r="O5" s="143" t="s">
        <v>522</v>
      </c>
      <c r="P5" s="143"/>
      <c r="Q5" s="143"/>
      <c r="R5" s="143"/>
      <c r="S5" s="143"/>
    </row>
    <row r="6" spans="2:19" ht="12" customHeight="1" x14ac:dyDescent="0.25">
      <c r="O6" s="143" t="s">
        <v>521</v>
      </c>
      <c r="P6" s="143"/>
      <c r="Q6" s="143"/>
      <c r="R6" s="143"/>
      <c r="S6" s="143"/>
    </row>
    <row r="7" spans="2:19" ht="12" customHeight="1" x14ac:dyDescent="0.25">
      <c r="B7" s="59" t="s">
        <v>247</v>
      </c>
      <c r="C7" s="25" t="s">
        <v>248</v>
      </c>
      <c r="D7" s="24" t="s">
        <v>249</v>
      </c>
      <c r="E7" s="25" t="s">
        <v>250</v>
      </c>
      <c r="F7" s="25" t="s">
        <v>251</v>
      </c>
      <c r="G7" s="25" t="s">
        <v>252</v>
      </c>
      <c r="H7" s="22" t="s">
        <v>253</v>
      </c>
      <c r="I7" s="22" t="s">
        <v>254</v>
      </c>
      <c r="J7" s="60" t="s">
        <v>255</v>
      </c>
      <c r="O7" s="143" t="s">
        <v>524</v>
      </c>
      <c r="P7" s="143"/>
      <c r="Q7" s="143"/>
      <c r="R7" s="143"/>
      <c r="S7" s="143"/>
    </row>
    <row r="8" spans="2:19" ht="12" customHeight="1" x14ac:dyDescent="0.25">
      <c r="B8" s="71" t="s">
        <v>80</v>
      </c>
      <c r="C8" s="20">
        <v>0.9526</v>
      </c>
      <c r="D8" s="20">
        <v>1</v>
      </c>
      <c r="E8" s="20">
        <v>3</v>
      </c>
      <c r="F8" s="20">
        <v>3</v>
      </c>
      <c r="G8" s="20">
        <v>4.0460000000000003E-2</v>
      </c>
      <c r="H8" s="20">
        <v>1000</v>
      </c>
      <c r="I8" s="20">
        <v>2</v>
      </c>
      <c r="J8" s="48">
        <v>2</v>
      </c>
      <c r="O8" s="143" t="s">
        <v>525</v>
      </c>
      <c r="P8" s="143"/>
      <c r="Q8" s="143"/>
      <c r="R8" s="143"/>
      <c r="S8" s="143"/>
    </row>
    <row r="9" spans="2:19" x14ac:dyDescent="0.25">
      <c r="B9" s="71" t="s">
        <v>85</v>
      </c>
      <c r="C9" s="20">
        <v>0.9526</v>
      </c>
      <c r="D9" s="20">
        <v>1</v>
      </c>
      <c r="E9" s="20">
        <v>3</v>
      </c>
      <c r="F9" s="20">
        <v>3</v>
      </c>
      <c r="G9" s="20">
        <v>4.0460000000000003E-2</v>
      </c>
      <c r="H9" s="20">
        <v>1000</v>
      </c>
      <c r="I9" s="20">
        <v>2</v>
      </c>
      <c r="J9" s="48">
        <v>2</v>
      </c>
    </row>
    <row r="10" spans="2:19" x14ac:dyDescent="0.25">
      <c r="B10" s="71" t="s">
        <v>86</v>
      </c>
      <c r="C10" s="20">
        <v>0.9526</v>
      </c>
      <c r="D10" s="20">
        <v>1</v>
      </c>
      <c r="E10" s="20">
        <v>3</v>
      </c>
      <c r="F10" s="20">
        <v>3</v>
      </c>
      <c r="G10" s="20">
        <v>4.0460000000000003E-2</v>
      </c>
      <c r="H10" s="20">
        <v>1000</v>
      </c>
      <c r="I10" s="20">
        <v>2</v>
      </c>
      <c r="J10" s="48">
        <v>2</v>
      </c>
    </row>
    <row r="11" spans="2:19" x14ac:dyDescent="0.25">
      <c r="B11" s="71" t="s">
        <v>87</v>
      </c>
      <c r="C11" s="20">
        <v>0.9526</v>
      </c>
      <c r="D11" s="20">
        <v>1</v>
      </c>
      <c r="E11" s="20">
        <v>3</v>
      </c>
      <c r="F11" s="20">
        <v>3</v>
      </c>
      <c r="G11" s="20">
        <v>4.0460000000000003E-2</v>
      </c>
      <c r="H11" s="20">
        <v>1000</v>
      </c>
      <c r="I11" s="20">
        <v>2</v>
      </c>
      <c r="J11" s="48">
        <v>2</v>
      </c>
    </row>
    <row r="12" spans="2:19" x14ac:dyDescent="0.25">
      <c r="B12" s="71" t="s">
        <v>88</v>
      </c>
      <c r="C12" s="20">
        <v>0.9526</v>
      </c>
      <c r="D12" s="20">
        <v>1</v>
      </c>
      <c r="E12" s="20">
        <v>3</v>
      </c>
      <c r="F12" s="20">
        <v>3</v>
      </c>
      <c r="G12" s="20">
        <v>4.0460000000000003E-2</v>
      </c>
      <c r="H12" s="20">
        <v>1000</v>
      </c>
      <c r="I12" s="20">
        <v>2</v>
      </c>
      <c r="J12" s="48">
        <v>2</v>
      </c>
    </row>
    <row r="13" spans="2:19" x14ac:dyDescent="0.25">
      <c r="B13" s="71" t="s">
        <v>89</v>
      </c>
      <c r="C13" s="20">
        <v>0.9526</v>
      </c>
      <c r="D13" s="20">
        <v>1</v>
      </c>
      <c r="E13" s="20">
        <v>3</v>
      </c>
      <c r="F13" s="20">
        <v>3</v>
      </c>
      <c r="G13" s="20">
        <v>4.0460000000000003E-2</v>
      </c>
      <c r="H13" s="20">
        <v>1000</v>
      </c>
      <c r="I13" s="20">
        <v>2</v>
      </c>
      <c r="J13" s="48">
        <v>2</v>
      </c>
    </row>
    <row r="14" spans="2:19" x14ac:dyDescent="0.25">
      <c r="B14" s="71" t="s">
        <v>90</v>
      </c>
      <c r="C14" s="20">
        <v>0.9526</v>
      </c>
      <c r="D14" s="20">
        <v>1</v>
      </c>
      <c r="E14" s="20">
        <v>3</v>
      </c>
      <c r="F14" s="20">
        <v>3</v>
      </c>
      <c r="G14" s="20">
        <v>4.0460000000000003E-2</v>
      </c>
      <c r="H14" s="20">
        <v>1000</v>
      </c>
      <c r="I14" s="20">
        <v>2</v>
      </c>
      <c r="J14" s="48">
        <v>2</v>
      </c>
    </row>
    <row r="15" spans="2:19" x14ac:dyDescent="0.25">
      <c r="B15" s="71" t="s">
        <v>91</v>
      </c>
      <c r="C15" s="20">
        <v>0.9526</v>
      </c>
      <c r="D15" s="20">
        <v>1</v>
      </c>
      <c r="E15" s="20">
        <v>3</v>
      </c>
      <c r="F15" s="20">
        <v>3</v>
      </c>
      <c r="G15" s="20">
        <v>4.0460000000000003E-2</v>
      </c>
      <c r="H15" s="20">
        <v>1000</v>
      </c>
      <c r="I15" s="20">
        <v>2</v>
      </c>
      <c r="J15" s="48">
        <v>2</v>
      </c>
    </row>
    <row r="16" spans="2:19" x14ac:dyDescent="0.25">
      <c r="B16" s="71" t="s">
        <v>92</v>
      </c>
      <c r="C16" s="20">
        <v>1</v>
      </c>
      <c r="D16" s="20">
        <v>0.97499999999999998</v>
      </c>
      <c r="E16" s="20">
        <v>6.5</v>
      </c>
      <c r="F16" s="20">
        <v>6.3</v>
      </c>
      <c r="G16" s="20">
        <v>4.0460000000000003E-2</v>
      </c>
      <c r="H16" s="20">
        <v>1000</v>
      </c>
      <c r="I16" s="20">
        <v>2</v>
      </c>
      <c r="J16" s="48">
        <v>2</v>
      </c>
    </row>
    <row r="17" spans="2:10" x14ac:dyDescent="0.25">
      <c r="B17" s="49"/>
      <c r="C17" s="50">
        <v>0.9526</v>
      </c>
      <c r="D17" s="50">
        <v>1</v>
      </c>
      <c r="E17" s="50">
        <v>3</v>
      </c>
      <c r="F17" s="50">
        <v>3</v>
      </c>
      <c r="G17" s="50">
        <v>4.0460000000000003E-2</v>
      </c>
      <c r="H17" s="50">
        <v>1000</v>
      </c>
      <c r="I17" s="50">
        <v>2</v>
      </c>
      <c r="J17" s="51">
        <v>2</v>
      </c>
    </row>
    <row r="21" spans="2:10" x14ac:dyDescent="0.25">
      <c r="B21" s="37" t="s">
        <v>41</v>
      </c>
      <c r="C21" s="17" t="s">
        <v>42</v>
      </c>
      <c r="D21" s="38"/>
      <c r="G21" s="99"/>
    </row>
    <row r="22" spans="2:10" x14ac:dyDescent="0.25">
      <c r="B22" s="43" t="s">
        <v>247</v>
      </c>
      <c r="C22" s="19" t="s">
        <v>278</v>
      </c>
      <c r="D22" s="104"/>
    </row>
    <row r="23" spans="2:10" x14ac:dyDescent="0.25">
      <c r="B23" s="43" t="s">
        <v>248</v>
      </c>
      <c r="C23" s="19" t="s">
        <v>444</v>
      </c>
      <c r="D23" s="104"/>
      <c r="F23" s="99"/>
      <c r="G23" s="1" t="s">
        <v>282</v>
      </c>
    </row>
    <row r="24" spans="2:10" x14ac:dyDescent="0.25">
      <c r="B24" s="43" t="s">
        <v>249</v>
      </c>
      <c r="C24" s="19" t="s">
        <v>445</v>
      </c>
      <c r="D24" s="104"/>
    </row>
    <row r="25" spans="2:10" x14ac:dyDescent="0.25">
      <c r="B25" s="43" t="s">
        <v>250</v>
      </c>
      <c r="C25" s="19" t="s">
        <v>446</v>
      </c>
      <c r="D25" s="104"/>
    </row>
    <row r="26" spans="2:10" x14ac:dyDescent="0.25">
      <c r="B26" s="43" t="s">
        <v>251</v>
      </c>
      <c r="C26" s="19" t="s">
        <v>447</v>
      </c>
      <c r="D26" s="104"/>
    </row>
    <row r="27" spans="2:10" x14ac:dyDescent="0.25">
      <c r="B27" s="43" t="s">
        <v>252</v>
      </c>
      <c r="C27" s="19" t="s">
        <v>448</v>
      </c>
      <c r="D27" s="104"/>
    </row>
    <row r="28" spans="2:10" x14ac:dyDescent="0.25">
      <c r="B28" s="43" t="s">
        <v>253</v>
      </c>
      <c r="C28" s="19" t="s">
        <v>449</v>
      </c>
      <c r="D28" s="104"/>
    </row>
    <row r="29" spans="2:10" x14ac:dyDescent="0.25">
      <c r="B29" s="43" t="s">
        <v>254</v>
      </c>
      <c r="C29" s="19" t="s">
        <v>450</v>
      </c>
      <c r="D29" s="104"/>
      <c r="G29" s="91"/>
    </row>
    <row r="30" spans="2:10" x14ac:dyDescent="0.25">
      <c r="B30" s="44" t="s">
        <v>255</v>
      </c>
      <c r="C30" s="107" t="s">
        <v>451</v>
      </c>
      <c r="D30" s="108"/>
    </row>
    <row r="31" spans="2:10" x14ac:dyDescent="0.25">
      <c r="F31" s="91"/>
      <c r="G31" s="1" t="s">
        <v>282</v>
      </c>
    </row>
    <row r="37" spans="6:12" x14ac:dyDescent="0.25">
      <c r="G37"/>
    </row>
    <row r="42" spans="6:12" x14ac:dyDescent="0.25">
      <c r="F42" s="100" t="s">
        <v>283</v>
      </c>
      <c r="G42" s="101"/>
      <c r="H42" s="101"/>
      <c r="I42" s="101"/>
      <c r="J42" s="101"/>
      <c r="K42" s="101"/>
      <c r="L42" s="10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NOTES</vt:lpstr>
      <vt:lpstr>INPUTS - 1_Highway Network</vt:lpstr>
      <vt:lpstr>intersection codes and caps</vt:lpstr>
      <vt:lpstr>INPUTS - 2_Transit Network</vt:lpstr>
      <vt:lpstr>INPUTS - 3_TAZ and TripGen</vt:lpstr>
      <vt:lpstr>INPUTS - 4_ExternalDistribution</vt:lpstr>
      <vt:lpstr>Special Gen</vt:lpstr>
      <vt:lpstr>INPUTS - 5_DiurnalDistribution</vt:lpstr>
      <vt:lpstr>INPUTS - 6_Assignment</vt:lpstr>
      <vt:lpstr>'INPUTS - 6_Assignment'!OLE_LINK1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2014-10-29T14:13:31Z</dcterms:modified>
</cp:coreProperties>
</file>